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-сайт\2023-yil 9-oylik\AOKA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 йил 2-чорак" sheetId="19" r:id="rId2"/>
    <sheet name="Шартномалар" sheetId="12" state="hidden" r:id="rId3"/>
  </sheets>
  <definedNames>
    <definedName name="_xlnm._FilterDatabase" localSheetId="1" hidden="1">'2023 йил 2-чорак'!$C$8:$W$58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 йил 2-чорак'!$5:$8</definedName>
    <definedName name="_xlnm.Print_Titles" localSheetId="0">'Йиллик параметр'!$5:$7</definedName>
    <definedName name="_xlnm.Print_Area" localSheetId="1">'2023 йил 2-чорак'!$B$2:$Q$60</definedName>
    <definedName name="_xlnm.Print_Area" localSheetId="0">'Йиллик параметр'!$B$2:$K$48</definedName>
  </definedNames>
  <calcPr calcId="152511"/>
</workbook>
</file>

<file path=xl/calcChain.xml><?xml version="1.0" encoding="utf-8"?>
<calcChain xmlns="http://schemas.openxmlformats.org/spreadsheetml/2006/main">
  <c r="N39" i="19" l="1"/>
  <c r="M39" i="19"/>
  <c r="N38" i="19"/>
  <c r="M38" i="19"/>
  <c r="N37" i="19"/>
  <c r="M37" i="19"/>
  <c r="N41" i="19"/>
  <c r="M41" i="19"/>
  <c r="N36" i="19"/>
  <c r="M36" i="19"/>
  <c r="N35" i="19"/>
  <c r="M35" i="19"/>
  <c r="M32" i="19"/>
  <c r="N46" i="19"/>
  <c r="M46" i="19"/>
  <c r="N40" i="19"/>
  <c r="M40" i="19"/>
  <c r="N14" i="19"/>
  <c r="M14" i="19"/>
  <c r="L55" i="19" l="1"/>
  <c r="K55" i="19"/>
  <c r="L53" i="19"/>
  <c r="K53" i="19"/>
  <c r="J53" i="19"/>
  <c r="I53" i="19"/>
  <c r="H53" i="19"/>
  <c r="G53" i="19"/>
  <c r="L50" i="19"/>
  <c r="K50" i="19"/>
  <c r="J50" i="19"/>
  <c r="I50" i="19"/>
  <c r="H50" i="19"/>
  <c r="G50" i="19"/>
  <c r="L49" i="19"/>
  <c r="K49" i="19"/>
  <c r="J49" i="19"/>
  <c r="I49" i="19"/>
  <c r="H49" i="19"/>
  <c r="G49" i="19"/>
  <c r="L47" i="19"/>
  <c r="K47" i="19"/>
  <c r="J47" i="19"/>
  <c r="I47" i="19"/>
  <c r="H47" i="19"/>
  <c r="G47" i="19"/>
  <c r="L46" i="19"/>
  <c r="K46" i="19"/>
  <c r="J46" i="19"/>
  <c r="I46" i="19"/>
  <c r="H46" i="19"/>
  <c r="G46" i="19"/>
  <c r="J45" i="19"/>
  <c r="I45" i="19"/>
  <c r="H45" i="19"/>
  <c r="G45" i="19"/>
  <c r="J44" i="19"/>
  <c r="I44" i="19"/>
  <c r="H44" i="19"/>
  <c r="G44" i="19"/>
  <c r="J43" i="19"/>
  <c r="I43" i="19"/>
  <c r="H43" i="19"/>
  <c r="G43" i="19"/>
  <c r="J42" i="19"/>
  <c r="I42" i="19"/>
  <c r="H42" i="19"/>
  <c r="G42" i="19"/>
  <c r="L41" i="19"/>
  <c r="K41" i="19"/>
  <c r="J41" i="19"/>
  <c r="I41" i="19"/>
  <c r="H41" i="19"/>
  <c r="G41" i="19"/>
  <c r="L40" i="19"/>
  <c r="K40" i="19"/>
  <c r="J40" i="19"/>
  <c r="I40" i="19"/>
  <c r="H40" i="19"/>
  <c r="G40" i="19"/>
  <c r="L39" i="19"/>
  <c r="K39" i="19"/>
  <c r="J39" i="19"/>
  <c r="I39" i="19"/>
  <c r="H39" i="19"/>
  <c r="G39" i="19"/>
  <c r="L38" i="19"/>
  <c r="K38" i="19"/>
  <c r="J38" i="19"/>
  <c r="I38" i="19"/>
  <c r="H38" i="19"/>
  <c r="G38" i="19"/>
  <c r="L37" i="19"/>
  <c r="K37" i="19"/>
  <c r="J37" i="19"/>
  <c r="I37" i="19"/>
  <c r="H37" i="19"/>
  <c r="G37" i="19"/>
  <c r="L36" i="19"/>
  <c r="K36" i="19"/>
  <c r="J36" i="19"/>
  <c r="I36" i="19"/>
  <c r="H36" i="19"/>
  <c r="G36" i="19"/>
  <c r="L35" i="19"/>
  <c r="K35" i="19"/>
  <c r="J35" i="19"/>
  <c r="I35" i="19"/>
  <c r="H35" i="19"/>
  <c r="G35" i="19"/>
  <c r="L34" i="19"/>
  <c r="K34" i="19"/>
  <c r="J34" i="19"/>
  <c r="I34" i="19"/>
  <c r="H34" i="19"/>
  <c r="G34" i="19"/>
  <c r="L33" i="19"/>
  <c r="K33" i="19"/>
  <c r="J33" i="19"/>
  <c r="I33" i="19"/>
  <c r="H33" i="19"/>
  <c r="G33" i="19"/>
  <c r="L32" i="19"/>
  <c r="K32" i="19"/>
  <c r="J32" i="19"/>
  <c r="I32" i="19"/>
  <c r="H32" i="19"/>
  <c r="G32" i="19"/>
  <c r="L31" i="19"/>
  <c r="K31" i="19"/>
  <c r="J31" i="19"/>
  <c r="I31" i="19"/>
  <c r="H31" i="19"/>
  <c r="G31" i="19"/>
  <c r="L30" i="19"/>
  <c r="K30" i="19"/>
  <c r="J30" i="19"/>
  <c r="I30" i="19"/>
  <c r="H30" i="19"/>
  <c r="G30" i="19"/>
  <c r="L28" i="19"/>
  <c r="K28" i="19"/>
  <c r="J28" i="19"/>
  <c r="I28" i="19"/>
  <c r="H28" i="19"/>
  <c r="G28" i="19"/>
  <c r="L27" i="19"/>
  <c r="K27" i="19"/>
  <c r="J27" i="19"/>
  <c r="I27" i="19"/>
  <c r="H27" i="19"/>
  <c r="G27" i="19"/>
  <c r="L26" i="19" l="1"/>
  <c r="K26" i="19"/>
  <c r="J26" i="19"/>
  <c r="I26" i="19"/>
  <c r="H26" i="19"/>
  <c r="G26" i="19"/>
  <c r="L25" i="19"/>
  <c r="K25" i="19"/>
  <c r="J25" i="19"/>
  <c r="I25" i="19"/>
  <c r="H25" i="19"/>
  <c r="G25" i="19"/>
  <c r="L24" i="19"/>
  <c r="K24" i="19"/>
  <c r="J24" i="19"/>
  <c r="I24" i="19"/>
  <c r="H24" i="19"/>
  <c r="G24" i="19"/>
  <c r="L23" i="19"/>
  <c r="K23" i="19"/>
  <c r="J23" i="19"/>
  <c r="I23" i="19"/>
  <c r="H23" i="19"/>
  <c r="G23" i="19"/>
  <c r="L22" i="19"/>
  <c r="K22" i="19"/>
  <c r="J22" i="19"/>
  <c r="I22" i="19"/>
  <c r="H22" i="19"/>
  <c r="G22" i="19"/>
  <c r="L21" i="19"/>
  <c r="K21" i="19"/>
  <c r="J21" i="19"/>
  <c r="I21" i="19"/>
  <c r="H21" i="19"/>
  <c r="G21" i="19"/>
  <c r="L20" i="19"/>
  <c r="K20" i="19"/>
  <c r="J20" i="19"/>
  <c r="I20" i="19"/>
  <c r="H20" i="19"/>
  <c r="G20" i="19"/>
  <c r="L19" i="19"/>
  <c r="K19" i="19"/>
  <c r="J19" i="19"/>
  <c r="I19" i="19"/>
  <c r="H19" i="19"/>
  <c r="G19" i="19"/>
  <c r="L18" i="19"/>
  <c r="K18" i="19"/>
  <c r="J18" i="19"/>
  <c r="I18" i="19"/>
  <c r="H18" i="19"/>
  <c r="G18" i="19"/>
  <c r="L17" i="19"/>
  <c r="K17" i="19"/>
  <c r="J17" i="19"/>
  <c r="I17" i="19"/>
  <c r="H17" i="19"/>
  <c r="G17" i="19"/>
  <c r="L16" i="19"/>
  <c r="K16" i="19"/>
  <c r="J16" i="19"/>
  <c r="I16" i="19"/>
  <c r="H16" i="19"/>
  <c r="G16" i="19"/>
  <c r="L15" i="19"/>
  <c r="K15" i="19"/>
  <c r="J15" i="19"/>
  <c r="I15" i="19"/>
  <c r="H15" i="19"/>
  <c r="G15" i="19"/>
  <c r="L14" i="19"/>
  <c r="K14" i="19"/>
  <c r="J14" i="19"/>
  <c r="I14" i="19"/>
  <c r="H14" i="19"/>
  <c r="G14" i="19"/>
  <c r="G9" i="19" l="1"/>
  <c r="H9" i="19"/>
  <c r="C12" i="19"/>
  <c r="F11" i="19"/>
  <c r="E11" i="19"/>
  <c r="F57" i="19"/>
  <c r="E57" i="19"/>
  <c r="F56" i="19"/>
  <c r="E56" i="19"/>
  <c r="F55" i="19"/>
  <c r="E55" i="19"/>
  <c r="E40" i="19" l="1"/>
  <c r="F47" i="19" l="1"/>
  <c r="F48" i="19"/>
  <c r="F49" i="19"/>
  <c r="F50" i="19"/>
  <c r="F51" i="19"/>
  <c r="F52" i="19"/>
  <c r="F53" i="19"/>
  <c r="F54" i="19"/>
  <c r="E47" i="19"/>
  <c r="E48" i="19"/>
  <c r="E49" i="19"/>
  <c r="E50" i="19"/>
  <c r="E51" i="19"/>
  <c r="E52" i="19"/>
  <c r="E53" i="19"/>
  <c r="E54" i="19"/>
  <c r="F10" i="19" l="1"/>
  <c r="F34" i="19" l="1"/>
  <c r="E34" i="19"/>
  <c r="F17" i="19" l="1"/>
  <c r="P9" i="19" l="1"/>
  <c r="O9" i="19"/>
  <c r="J9" i="19"/>
  <c r="I9" i="19"/>
  <c r="L9" i="19"/>
  <c r="K9" i="19"/>
  <c r="F58" i="19"/>
  <c r="E58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F39" i="19"/>
  <c r="E39" i="19"/>
  <c r="F38" i="19"/>
  <c r="E38" i="19"/>
  <c r="F37" i="19"/>
  <c r="E37" i="19"/>
  <c r="F36" i="19"/>
  <c r="E36" i="19"/>
  <c r="F35" i="19"/>
  <c r="E35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E17" i="19"/>
  <c r="F16" i="19"/>
  <c r="E16" i="19"/>
  <c r="F15" i="19"/>
  <c r="E15" i="19"/>
  <c r="F14" i="19"/>
  <c r="E14" i="19"/>
  <c r="F13" i="19"/>
  <c r="E13" i="19"/>
  <c r="N9" i="19"/>
  <c r="M9" i="19"/>
  <c r="F12" i="19"/>
  <c r="E12" i="19"/>
  <c r="C13" i="19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E10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C30" i="19" l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E47" i="15"/>
  <c r="F9" i="19"/>
  <c r="E9" i="19"/>
  <c r="R9" i="19" l="1"/>
</calcChain>
</file>

<file path=xl/sharedStrings.xml><?xml version="1.0" encoding="utf-8"?>
<sst xmlns="http://schemas.openxmlformats.org/spreadsheetml/2006/main" count="3980" uniqueCount="1360">
  <si>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</si>
  <si>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</si>
  <si>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</si>
  <si>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</si>
  <si>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</si>
  <si>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</si>
  <si>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</si>
  <si>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</si>
  <si>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</si>
  <si>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</si>
  <si>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</si>
  <si>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</si>
  <si>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</si>
  <si>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</si>
  <si>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</si>
  <si>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</si>
  <si>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</si>
  <si>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</si>
  <si>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</si>
  <si>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</si>
  <si>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</si>
  <si>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</si>
  <si>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</si>
  <si>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</si>
  <si>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</si>
  <si>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</si>
  <si>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</si>
  <si>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</si>
  <si>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</si>
  <si>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</si>
  <si>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</si>
  <si>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</si>
  <si>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</si>
  <si>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</si>
  <si>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</si>
  <si>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</si>
  <si>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</si>
  <si>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</si>
  <si>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</si>
  <si>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</si>
  <si>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</si>
  <si>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</si>
  <si>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</si>
  <si>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</si>
  <si>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</si>
  <si>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</si>
  <si>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</si>
  <si>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</si>
  <si>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</si>
  <si>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</si>
  <si>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</si>
  <si>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</si>
  <si>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</si>
  <si>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</si>
  <si>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</si>
  <si>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</si>
  <si>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</si>
  <si>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</si>
  <si>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</si>
  <si>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</si>
  <si>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</si>
  <si>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</si>
  <si>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</si>
  <si>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</si>
  <si>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</si>
  <si>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</si>
  <si>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</si>
  <si>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</si>
  <si>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</si>
  <si>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</si>
  <si>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</si>
  <si>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</si>
  <si>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</si>
  <si>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</si>
  <si>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</si>
  <si>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</si>
  <si>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</si>
  <si>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</si>
  <si>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</si>
  <si>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</si>
  <si>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</si>
  <si>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</si>
  <si>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</si>
  <si>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</si>
  <si>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</si>
  <si>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</si>
  <si>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</si>
  <si>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</si>
  <si>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</si>
  <si>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</si>
  <si>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</si>
  <si>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</si>
  <si>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</si>
  <si>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</si>
  <si>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</si>
  <si>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</si>
  <si>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</si>
  <si>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</si>
  <si>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</si>
  <si>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</si>
  <si>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</si>
  <si>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</si>
  <si>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</si>
  <si>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</si>
  <si>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</si>
  <si>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</si>
  <si>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</si>
  <si>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</si>
  <si>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</si>
  <si>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</si>
  <si>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</si>
  <si>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</si>
  <si>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</si>
  <si>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</si>
  <si>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</si>
  <si>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</si>
  <si>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</si>
  <si>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</si>
  <si>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</si>
  <si>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</si>
  <si>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</si>
  <si>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</si>
  <si>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</si>
  <si>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</si>
  <si>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</si>
  <si>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</si>
  <si>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</si>
  <si>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</si>
  <si>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</si>
  <si>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</si>
  <si>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</si>
  <si>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</si>
  <si>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</si>
  <si>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</si>
  <si>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</si>
  <si>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</si>
  <si>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</si>
  <si>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</si>
  <si>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</si>
  <si>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</si>
  <si>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</si>
  <si>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</si>
  <si>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</si>
  <si>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</si>
  <si>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</si>
  <si>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</si>
  <si>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</si>
  <si>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</si>
  <si>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</si>
  <si>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</si>
  <si>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</si>
  <si>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</si>
  <si>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</si>
  <si>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</si>
  <si>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</si>
  <si>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</si>
  <si>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</si>
  <si>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</si>
  <si>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</si>
  <si>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</si>
  <si>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</si>
  <si>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</si>
  <si>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</si>
  <si>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</si>
  <si>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</si>
  <si>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</si>
  <si>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</si>
  <si>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</si>
  <si>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</si>
  <si>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</si>
  <si>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</si>
  <si>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</si>
  <si>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</si>
  <si>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</si>
  <si>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</si>
  <si>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</si>
  <si>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</si>
  <si>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</si>
  <si>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</si>
  <si>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</si>
  <si>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</si>
  <si>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</si>
  <si>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</si>
  <si>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</si>
  <si>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</si>
  <si>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</si>
  <si>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</si>
  <si>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</si>
  <si>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</si>
  <si>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</si>
  <si>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</si>
  <si>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</si>
  <si>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</si>
  <si>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</si>
  <si>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</si>
  <si>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</si>
  <si>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</si>
  <si>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</si>
  <si>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</si>
  <si>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</si>
  <si>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</si>
  <si>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</si>
  <si>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</si>
  <si>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</si>
  <si>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</si>
  <si>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</si>
  <si>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</si>
  <si>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</si>
  <si>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</si>
  <si>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</si>
  <si>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</si>
  <si>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</si>
  <si>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</si>
  <si>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</si>
  <si>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</si>
  <si>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</si>
  <si>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</si>
  <si>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</si>
  <si>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</si>
  <si>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</si>
  <si>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</si>
  <si>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</si>
  <si>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</si>
  <si>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</si>
  <si>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</si>
  <si>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</si>
  <si>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</si>
  <si>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</si>
  <si>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</si>
  <si>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</si>
  <si>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</si>
  <si>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</si>
  <si>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</si>
  <si>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</si>
  <si>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</si>
  <si>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</si>
  <si>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</si>
  <si>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</si>
  <si>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</si>
  <si>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</si>
  <si>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</si>
  <si>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</si>
  <si>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</si>
  <si>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</si>
  <si>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</si>
  <si>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</si>
  <si>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</si>
  <si>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</si>
  <si>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</si>
  <si>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</si>
  <si>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</si>
  <si>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</si>
  <si>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</si>
  <si>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</si>
  <si>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</si>
  <si>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</si>
  <si>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</si>
  <si>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</si>
  <si>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</si>
  <si>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</si>
  <si>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</si>
  <si>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</si>
  <si>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</si>
  <si>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</si>
  <si>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</si>
  <si>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</si>
  <si>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</si>
  <si>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</si>
  <si>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</si>
  <si>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</si>
  <si>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</si>
  <si>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</si>
  <si>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</si>
  <si>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</si>
  <si>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</si>
  <si>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</si>
  <si>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</si>
  <si>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</si>
  <si>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</si>
  <si>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</si>
  <si>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</si>
  <si>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</si>
  <si>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</si>
  <si>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</si>
  <si>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</si>
  <si>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</si>
  <si>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</si>
  <si>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</si>
  <si>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</si>
  <si>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</si>
  <si>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</si>
  <si>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</si>
  <si>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</si>
  <si>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</si>
  <si>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</si>
  <si>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</si>
  <si>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</si>
  <si>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</si>
  <si>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</si>
  <si>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</si>
  <si>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</si>
  <si>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</si>
  <si>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</si>
  <si>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</si>
  <si>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</si>
  <si>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</si>
  <si>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</si>
  <si>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</si>
  <si>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</si>
  <si>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</si>
  <si>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</si>
  <si>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</si>
  <si>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</si>
  <si>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</si>
  <si>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</si>
  <si>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</si>
  <si>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</si>
  <si>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</si>
  <si>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</si>
  <si>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</si>
  <si>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</si>
  <si>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</si>
  <si>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</si>
  <si>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</si>
  <si>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</si>
  <si>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</si>
  <si>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</si>
  <si>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</si>
  <si>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</si>
  <si>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</si>
  <si>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</si>
  <si>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</si>
  <si>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</si>
  <si>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</si>
  <si>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</si>
  <si>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</si>
  <si>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</si>
  <si>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</si>
  <si>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</si>
  <si>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</si>
  <si>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</si>
  <si>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</si>
  <si>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</si>
  <si>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</si>
  <si>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</si>
  <si>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</si>
  <si>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</si>
  <si>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</si>
  <si>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</si>
  <si>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</si>
  <si>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</si>
  <si>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</si>
  <si>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</si>
  <si>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</si>
  <si>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</si>
  <si>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</si>
  <si>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</si>
  <si>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</si>
  <si>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</si>
  <si>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</si>
  <si>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</si>
  <si>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</si>
  <si>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</si>
  <si>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</si>
  <si>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</si>
  <si>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</si>
  <si>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</si>
  <si>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</si>
  <si>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</si>
  <si>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</si>
  <si>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</si>
  <si>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</si>
  <si>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</si>
  <si>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</si>
  <si>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</si>
  <si>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</si>
  <si>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</si>
  <si>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</si>
  <si>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</si>
  <si>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</si>
  <si>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</si>
  <si>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</si>
  <si>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</si>
  <si>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</si>
  <si>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</si>
  <si>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</si>
  <si>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</si>
  <si>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</si>
  <si>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</si>
  <si>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</si>
  <si>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</si>
  <si>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</si>
  <si>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</si>
  <si>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</si>
  <si>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</si>
  <si>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</si>
  <si>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</si>
  <si>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</si>
  <si>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</si>
  <si>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</si>
  <si>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</si>
  <si>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</si>
  <si>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</si>
  <si>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</si>
  <si>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</si>
  <si>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</si>
  <si>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</si>
  <si>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</si>
  <si>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</si>
  <si>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</si>
  <si>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</si>
  <si>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</si>
  <si>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</si>
  <si>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</si>
  <si>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</si>
  <si>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</si>
  <si>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</si>
  <si>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</si>
  <si>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</si>
  <si>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</si>
  <si>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</si>
  <si>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</si>
  <si>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</si>
  <si>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</si>
  <si>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</si>
  <si>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</si>
  <si>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</si>
  <si>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</si>
  <si>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</si>
  <si>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</si>
  <si>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</si>
  <si>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</si>
  <si>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</si>
  <si>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</si>
  <si>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</si>
  <si>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</si>
  <si>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</si>
  <si>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</si>
  <si>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</si>
  <si>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</si>
  <si>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</si>
  <si>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</si>
  <si>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</si>
  <si>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</si>
  <si>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</si>
  <si>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</si>
  <si>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</si>
  <si>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</si>
  <si>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</si>
  <si>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</si>
  <si>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</si>
  <si>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</si>
  <si>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</si>
  <si>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</si>
  <si>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</si>
  <si>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</si>
  <si>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</si>
  <si>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</si>
  <si>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</si>
  <si>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</si>
  <si>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</si>
  <si>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</si>
  <si>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</si>
  <si>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</si>
  <si>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</si>
  <si>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</si>
  <si>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</si>
  <si>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</si>
  <si>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</si>
  <si>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</si>
  <si>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</si>
  <si>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</si>
  <si>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</si>
  <si>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</si>
  <si>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</si>
  <si>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</si>
  <si>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</si>
  <si>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</si>
  <si>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</si>
  <si>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</si>
  <si>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</si>
  <si>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</si>
  <si>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</si>
  <si>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</si>
  <si>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</si>
  <si>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</si>
  <si>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</si>
  <si>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</si>
  <si>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</si>
  <si>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</si>
  <si>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</si>
  <si>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</si>
  <si>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</si>
  <si>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</si>
  <si>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</si>
  <si>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</si>
  <si>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</si>
  <si>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</si>
  <si>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</si>
  <si>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</si>
  <si>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</si>
  <si>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</si>
  <si>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</si>
  <si>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</si>
  <si>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</si>
  <si>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</si>
  <si>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</si>
  <si>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</si>
  <si>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</si>
  <si>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</si>
  <si>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</si>
  <si>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</si>
  <si>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</si>
  <si>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</si>
  <si>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</si>
  <si>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</si>
  <si>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</si>
  <si>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</si>
  <si>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</si>
  <si>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</si>
  <si>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</si>
  <si>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</si>
  <si>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</si>
  <si>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</si>
  <si>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</si>
  <si>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</si>
  <si>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</si>
  <si>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</si>
  <si>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</si>
  <si>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</si>
  <si>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</si>
  <si>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</si>
  <si>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</si>
  <si>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</si>
  <si>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</si>
  <si>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</si>
  <si>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</si>
  <si>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</si>
  <si>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</si>
  <si>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</si>
  <si>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</si>
  <si>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</si>
  <si>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</si>
  <si>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</si>
  <si>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</si>
  <si>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</si>
  <si>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</si>
  <si>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</si>
  <si>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</si>
  <si>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</si>
  <si>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</si>
  <si>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</si>
  <si>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</si>
  <si>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</si>
  <si>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</si>
  <si>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</si>
  <si>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</si>
  <si>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</si>
  <si>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</si>
  <si>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</si>
  <si>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</si>
  <si>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</si>
  <si>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</si>
  <si>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</si>
  <si>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</si>
  <si>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</si>
  <si>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</si>
  <si>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</si>
  <si>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</si>
  <si>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</si>
  <si>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</si>
  <si>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</si>
  <si>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</si>
  <si>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</si>
  <si>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</si>
  <si>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</si>
  <si>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</si>
  <si>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</si>
  <si>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</si>
  <si>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</si>
  <si>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</si>
  <si>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</si>
  <si>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</si>
  <si>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</si>
  <si>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</si>
  <si>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</si>
  <si>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</si>
  <si>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</si>
  <si>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</si>
  <si>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</si>
  <si>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</si>
  <si>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</si>
  <si>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</si>
  <si>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</si>
  <si>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</si>
  <si>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</si>
  <si>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</si>
  <si>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</si>
  <si>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</si>
  <si>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</si>
  <si>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</si>
  <si>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</si>
  <si>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</si>
  <si>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</si>
  <si>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</si>
  <si>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</si>
  <si>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</si>
  <si>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</si>
  <si>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</si>
  <si>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</si>
  <si>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</si>
  <si>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</si>
  <si>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</si>
  <si>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</si>
  <si>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</si>
  <si>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</si>
  <si>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</si>
  <si>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</si>
  <si>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</si>
  <si>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</si>
  <si>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</si>
  <si>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</si>
  <si>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</si>
  <si>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</si>
  <si>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</si>
  <si>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</si>
  <si>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</si>
  <si>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</si>
  <si>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</si>
  <si>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</si>
  <si>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</si>
  <si>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</si>
  <si>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</si>
  <si>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</si>
  <si>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</si>
  <si>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</si>
  <si>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</si>
  <si>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</si>
  <si>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</si>
  <si>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</si>
  <si>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</si>
  <si>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</si>
  <si>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</si>
  <si>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</si>
  <si>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</si>
  <si>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</si>
  <si>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</si>
  <si>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</si>
  <si>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</si>
  <si>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</si>
  <si>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</si>
  <si>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</si>
  <si>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</si>
  <si>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</si>
  <si>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</si>
  <si>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</si>
  <si>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</si>
  <si>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</si>
  <si>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</si>
  <si>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</si>
  <si>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</si>
  <si>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</si>
  <si>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</si>
  <si>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</si>
  <si>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</si>
  <si>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</si>
  <si>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</si>
  <si>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</si>
  <si>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</si>
  <si>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</si>
  <si>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</si>
  <si>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</si>
  <si>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</si>
  <si>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</si>
  <si>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</si>
  <si>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</si>
  <si>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</si>
  <si>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</si>
  <si>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</si>
  <si>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</si>
  <si>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</si>
  <si>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</si>
  <si>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</si>
  <si>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</si>
  <si>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</si>
  <si>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</si>
  <si>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</si>
  <si>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</si>
  <si>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</si>
  <si>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</si>
  <si>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</si>
  <si>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</si>
  <si>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</si>
  <si>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</si>
  <si>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</si>
  <si>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</si>
  <si>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</si>
  <si>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</si>
  <si>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</si>
  <si>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</si>
  <si>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</si>
  <si>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</si>
  <si>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</si>
  <si>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</si>
  <si>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</si>
  <si>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</si>
  <si>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</si>
  <si>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</si>
  <si>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</si>
  <si>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</si>
  <si>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</si>
  <si>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</si>
  <si>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</si>
  <si>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</si>
  <si>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</si>
  <si>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</si>
  <si>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</si>
  <si>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</si>
  <si>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</si>
  <si>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</si>
  <si>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</si>
  <si>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</si>
  <si>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</si>
  <si>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</si>
  <si>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</si>
  <si>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</si>
  <si>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</si>
  <si>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</si>
  <si>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</si>
  <si>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</si>
  <si>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</si>
  <si>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</si>
  <si>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</si>
  <si>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</si>
  <si>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</si>
  <si>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</si>
  <si>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</si>
  <si>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</si>
  <si>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</si>
  <si>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</si>
  <si>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</si>
  <si>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</si>
  <si>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</si>
  <si>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</si>
  <si>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</si>
  <si>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</si>
  <si>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</si>
  <si>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</si>
  <si>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</si>
  <si>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</si>
  <si>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</si>
  <si>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</si>
  <si>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</si>
  <si>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</si>
  <si>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</si>
  <si>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</si>
  <si>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</si>
  <si>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</si>
  <si>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</si>
  <si>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</si>
  <si>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</si>
  <si>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</si>
  <si>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</si>
  <si>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</si>
  <si>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</si>
  <si>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</si>
  <si>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</si>
  <si>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</si>
  <si>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</si>
  <si>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</si>
  <si>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</si>
  <si>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</si>
  <si>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</si>
  <si>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</si>
  <si>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</si>
  <si>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</si>
  <si>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</si>
  <si>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</si>
  <si>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</si>
  <si>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</si>
  <si>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</si>
  <si>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</si>
  <si>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</si>
  <si>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</si>
  <si>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</si>
  <si>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</si>
  <si>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</si>
  <si>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</si>
  <si>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</si>
  <si>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</si>
  <si>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</si>
  <si>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</si>
  <si>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</si>
  <si>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</si>
  <si>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</si>
  <si>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</si>
  <si>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</si>
  <si>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</si>
  <si>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</si>
  <si>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</si>
  <si>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</si>
  <si>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</si>
  <si>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</si>
  <si>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</si>
  <si>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</si>
  <si>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</si>
  <si>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</si>
  <si>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</si>
  <si>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</si>
  <si>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</si>
  <si>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</si>
  <si>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</si>
  <si>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</si>
  <si>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</si>
  <si>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</si>
  <si>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</si>
  <si>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</si>
  <si>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</si>
  <si>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</si>
  <si>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</si>
  <si>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</si>
  <si>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</si>
  <si>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</si>
  <si>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</si>
  <si>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</si>
  <si>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</si>
  <si>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</si>
  <si>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</si>
  <si>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</si>
  <si>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</si>
  <si>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</si>
  <si>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</si>
  <si>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</si>
  <si>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</si>
  <si>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</si>
  <si>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</si>
  <si>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</si>
  <si>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</si>
  <si>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</si>
  <si>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</si>
  <si>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</si>
  <si>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</si>
  <si>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</si>
  <si>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</si>
  <si>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</si>
  <si>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</si>
  <si>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</si>
  <si>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</si>
  <si>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</si>
  <si>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</si>
  <si>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</si>
  <si>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</si>
  <si>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</si>
  <si>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</si>
  <si>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</si>
  <si>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</si>
  <si>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</si>
  <si>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</si>
  <si>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</si>
  <si>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</si>
  <si>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</si>
  <si>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</si>
  <si>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</si>
  <si>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</si>
  <si>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</si>
  <si>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</si>
  <si>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</si>
  <si>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</si>
  <si>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</si>
  <si>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</si>
  <si>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</si>
  <si>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</si>
  <si>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</si>
  <si>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</si>
  <si>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</si>
  <si>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</si>
  <si>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</si>
  <si>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</si>
  <si>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</si>
  <si>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</si>
  <si>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</si>
  <si>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</si>
  <si>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</si>
  <si>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</si>
  <si>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</si>
  <si>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</si>
  <si>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</si>
  <si>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</si>
  <si>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</si>
  <si>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</si>
  <si>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</si>
  <si>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</si>
  <si>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</si>
  <si>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</si>
  <si>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</si>
  <si>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</si>
  <si>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</si>
  <si>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</si>
  <si>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</si>
  <si>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</si>
  <si>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</si>
  <si>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</si>
  <si>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</si>
  <si>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</si>
  <si>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</si>
  <si>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</si>
  <si>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</si>
  <si>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</si>
  <si>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</si>
  <si>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</si>
  <si>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</si>
  <si>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</si>
  <si>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</si>
  <si>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</si>
  <si>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</si>
  <si>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</si>
  <si>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</si>
  <si>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</si>
  <si>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</si>
  <si>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</si>
  <si>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</si>
  <si>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</si>
  <si>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</si>
  <si>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</si>
  <si>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</si>
  <si>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</si>
  <si>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</si>
  <si>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</si>
  <si>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</si>
  <si>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</si>
  <si>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</si>
  <si>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</si>
  <si>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</si>
  <si>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</si>
  <si>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</si>
  <si>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</si>
  <si>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</si>
  <si>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</si>
  <si>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</si>
  <si>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</si>
  <si>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</si>
  <si>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</si>
  <si>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</si>
  <si>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</si>
  <si>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</si>
  <si>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</si>
  <si>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</si>
  <si>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</si>
  <si>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</si>
  <si>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</si>
  <si>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</si>
  <si>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</si>
  <si>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</si>
  <si>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</si>
  <si>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</si>
  <si>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</si>
  <si>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</si>
  <si>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</si>
  <si>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</si>
  <si>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</si>
  <si>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</si>
  <si>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</si>
  <si>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</si>
  <si>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</si>
  <si>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</si>
  <si>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</si>
  <si>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</si>
  <si>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</si>
  <si>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</si>
  <si>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</si>
  <si>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</si>
  <si>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</si>
  <si>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</si>
  <si>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</si>
  <si>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</si>
  <si>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</si>
  <si>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</si>
  <si>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</si>
  <si>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</si>
  <si>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</si>
  <si>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</si>
  <si>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</si>
  <si>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</si>
  <si>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</si>
  <si>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</si>
  <si>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</si>
  <si>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</si>
  <si>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</si>
  <si>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</si>
  <si>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</si>
  <si>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</si>
  <si>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</si>
  <si>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</si>
  <si>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</si>
  <si>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</si>
  <si>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</si>
  <si>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</si>
  <si>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</si>
  <si>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</si>
  <si>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</si>
  <si>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</si>
  <si>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</si>
  <si>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</si>
  <si>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</si>
  <si>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</si>
  <si>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</si>
  <si>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</si>
  <si>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</si>
  <si>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</si>
  <si>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</si>
  <si>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</si>
  <si>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</si>
  <si>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</si>
  <si>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</si>
  <si>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</si>
  <si>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</si>
  <si>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</si>
  <si>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</si>
  <si>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</si>
  <si>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</si>
  <si>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</si>
  <si>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</si>
  <si>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</si>
  <si>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</si>
  <si>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</si>
  <si>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</si>
  <si>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</si>
  <si>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</si>
  <si>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</si>
  <si>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</si>
  <si>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</si>
  <si>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</si>
  <si>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</si>
  <si>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</si>
  <si>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</si>
  <si>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</si>
  <si>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</si>
  <si>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</si>
  <si>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</si>
  <si>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</si>
  <si>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</si>
  <si>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</si>
  <si>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</si>
  <si>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</si>
  <si>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</si>
  <si>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</si>
  <si>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</si>
  <si>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</si>
  <si>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</si>
  <si>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</si>
  <si>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</si>
  <si>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</si>
  <si>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</si>
  <si>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</si>
  <si>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</si>
  <si>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</si>
  <si>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</si>
  <si>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</si>
  <si>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</si>
  <si>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</si>
  <si>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</si>
  <si>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</si>
  <si>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</si>
  <si>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</si>
  <si>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</si>
  <si>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</si>
  <si>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</si>
  <si>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</si>
  <si>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</si>
  <si>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</si>
  <si>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</si>
  <si>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</si>
  <si>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</si>
  <si>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</si>
  <si>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</si>
  <si>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</si>
  <si>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</si>
  <si>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</si>
  <si>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</si>
  <si>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</si>
  <si>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</si>
  <si>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</si>
  <si>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</si>
  <si>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</si>
  <si>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</si>
  <si>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</si>
  <si>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</si>
  <si>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</si>
  <si>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</si>
  <si>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</si>
  <si>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</si>
  <si>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</si>
  <si>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</si>
  <si>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</si>
  <si>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</si>
  <si>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</si>
  <si>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</si>
  <si>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</si>
  <si>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</si>
  <si>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</si>
  <si>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</si>
  <si>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</si>
  <si>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</si>
  <si>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</si>
  <si>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</si>
  <si>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</si>
  <si>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</si>
  <si>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</si>
  <si>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</si>
  <si>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</si>
  <si>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</si>
  <si>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</si>
  <si>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</si>
  <si>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</si>
  <si>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</si>
  <si>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</si>
  <si>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</si>
  <si>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</si>
  <si>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</si>
  <si>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</si>
  <si>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</si>
  <si>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</si>
  <si>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</si>
  <si>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</si>
  <si>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</si>
  <si>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</si>
  <si>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</si>
  <si>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</si>
  <si>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</si>
  <si>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</si>
  <si>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</si>
  <si>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</si>
  <si>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</si>
  <si>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</si>
  <si>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</si>
  <si>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</si>
  <si>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</si>
  <si>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</si>
  <si>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</si>
  <si>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</si>
  <si>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</si>
  <si>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</si>
  <si>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</si>
  <si>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</si>
  <si>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</si>
  <si>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</si>
  <si>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</si>
  <si>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</si>
  <si>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</si>
  <si>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</si>
  <si>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</si>
  <si>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</si>
  <si>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</si>
  <si>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</si>
  <si>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</si>
  <si>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</si>
  <si>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</si>
  <si>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</si>
  <si>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</si>
  <si>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</si>
  <si>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</si>
  <si>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</si>
  <si>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</si>
  <si>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</si>
  <si>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</si>
  <si>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</si>
  <si>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</si>
  <si>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</si>
  <si>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</si>
  <si>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</si>
  <si>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</si>
  <si>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</si>
  <si>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</si>
  <si>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</si>
  <si>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</si>
  <si>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</si>
  <si>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</si>
  <si>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</si>
  <si>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</si>
  <si>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</si>
  <si>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</si>
  <si>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</si>
  <si>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</si>
  <si>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</si>
  <si>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</si>
  <si>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</si>
  <si>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</si>
  <si>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</si>
  <si>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</si>
  <si>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</si>
  <si>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</si>
  <si>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</si>
  <si>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</si>
  <si>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</si>
  <si>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</si>
  <si>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</si>
  <si>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</si>
  <si>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</si>
  <si>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</si>
  <si>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</si>
  <si>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</si>
  <si>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</si>
  <si>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</si>
  <si>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</si>
  <si>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</si>
  <si>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</si>
  <si>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</si>
  <si>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</si>
  <si>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</si>
  <si>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</si>
  <si>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</si>
  <si>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</si>
  <si>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</si>
  <si>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</si>
  <si>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</si>
  <si>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</si>
  <si>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</si>
  <si>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</si>
  <si>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</si>
  <si>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</si>
  <si>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</si>
  <si>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</si>
  <si>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</si>
  <si>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</si>
  <si>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</si>
  <si>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</si>
  <si>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</si>
  <si>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</si>
  <si>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</si>
  <si>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</si>
  <si>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</si>
  <si>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</si>
  <si>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</si>
  <si>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</si>
  <si>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</si>
  <si>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</si>
  <si>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</si>
  <si>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</si>
  <si>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</si>
  <si>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</si>
  <si>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</si>
  <si>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</si>
  <si>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</si>
  <si>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</si>
  <si>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</si>
  <si>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</si>
  <si>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</si>
  <si>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</si>
  <si>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</si>
  <si>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</si>
  <si>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</si>
  <si>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</si>
  <si>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</si>
  <si>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</si>
  <si>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</si>
  <si>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</si>
  <si>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</si>
  <si>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</si>
  <si>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</si>
  <si>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</si>
  <si>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</si>
  <si>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</si>
  <si>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</si>
  <si>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</si>
  <si>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</si>
  <si>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</si>
  <si>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</si>
  <si>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</si>
  <si>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</si>
  <si>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</si>
  <si>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</si>
  <si>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</si>
  <si>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</si>
  <si>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</si>
  <si>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</si>
  <si>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</si>
  <si>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</si>
  <si>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</si>
  <si>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</si>
  <si>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</si>
  <si>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</si>
  <si>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</si>
  <si>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</si>
  <si>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</si>
  <si>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</si>
  <si>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</si>
  <si>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</si>
  <si>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</si>
  <si>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</si>
  <si>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</si>
  <si>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</si>
  <si>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</si>
  <si>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</si>
  <si>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</si>
  <si>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</si>
  <si>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</si>
  <si>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</si>
  <si>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</si>
  <si>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</si>
  <si>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</si>
  <si>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</si>
  <si>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</si>
  <si>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</si>
  <si>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</si>
  <si>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</si>
  <si>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</si>
  <si>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</si>
  <si>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</si>
  <si>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</si>
  <si>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</si>
  <si>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</si>
  <si>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</si>
  <si>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</si>
  <si>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</si>
  <si>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</si>
  <si>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</si>
  <si>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</si>
  <si>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</si>
  <si>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</si>
  <si>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</si>
  <si>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</si>
  <si>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</si>
  <si>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</si>
  <si>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</si>
  <si>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</si>
  <si>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</si>
  <si>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</si>
  <si>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</si>
  <si>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</si>
  <si>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</si>
  <si>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</si>
  <si>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</si>
  <si>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</si>
  <si>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</si>
  <si>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</si>
  <si>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</si>
  <si>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</si>
  <si>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минг сўмда</t>
  </si>
  <si>
    <t>"Меҳрли мактаб" давлат таълим муассасаси</t>
  </si>
  <si>
    <t>ЖАМИ</t>
  </si>
  <si>
    <r>
      <t xml:space="preserve">объектларни лойиҳалаштириш, қуриш </t>
    </r>
    <r>
      <rPr>
        <i/>
        <sz val="14"/>
        <rFont val="Arial"/>
        <family val="2"/>
        <charset val="204"/>
      </rPr>
      <t>(реконструкция қилиш),</t>
    </r>
    <r>
      <rPr>
        <b/>
        <sz val="14"/>
        <rFont val="Arial"/>
        <family val="2"/>
        <charset val="204"/>
      </rPr>
      <t xml:space="preserve"> капитал таъмирлаш ва жиҳозлаш </t>
    </r>
    <r>
      <rPr>
        <i/>
        <sz val="14"/>
        <rFont val="Arial"/>
        <family val="2"/>
        <charset val="204"/>
      </rPr>
      <t>(капитал қўйилмалар)</t>
    </r>
  </si>
  <si>
    <r>
      <rPr>
        <i/>
        <sz val="14"/>
        <rFont val="Arial"/>
        <family val="2"/>
        <charset val="204"/>
      </rPr>
      <t xml:space="preserve">жумладан,
</t>
    </r>
    <r>
      <rPr>
        <b/>
        <i/>
        <sz val="14"/>
        <rFont val="Arial"/>
        <family val="2"/>
        <charset val="204"/>
      </rPr>
      <t xml:space="preserve">атотранспорт воситаларини сақлаш харажатлари 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</si>
  <si>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</t>
    </r>
    <r>
      <rPr>
        <b/>
        <sz val="14"/>
        <rFont val="Arial"/>
        <family val="2"/>
        <charset val="204"/>
      </rPr>
      <t>бюджетдан ажратилган ва ижро этилган
маблағлар суммаси</t>
    </r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</si>
  <si>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</si>
  <si>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</si>
  <si>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</si>
  <si>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</si>
  <si>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</si>
  <si>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</si>
  <si>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</si>
  <si>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</si>
  <si>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</si>
  <si>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Республика илмий-педагог кутубхона</t>
  </si>
  <si>
    <t>Ўзбекистон Республикаси Мактабгача ва мактаб таълими вазири жамғармаси  ҳамдаТаълим соҳасидаги ислоҳатларга кўмаклашиш жамғармаси</t>
  </si>
  <si>
    <r>
      <t xml:space="preserve">Дарсликлар ва ўқув қўлланмалар хариди 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</si>
  <si>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 xml:space="preserve">1-синф ўқувчиларини 12 турдаги ўқув қуроллари ("Президент совғаси"), мактаблардаги кам таъминланган оила фарзандларини мактаб формаси билан таъминлаш, "Бир миллион" дастурчи доирасида компьютер жамланмалари хариди, мусиқа асбоблари ҳамда спорт анжомлари хариди
</t>
    </r>
    <r>
      <rPr>
        <i/>
        <sz val="14"/>
        <rFont val="Arial"/>
        <family val="2"/>
        <charset val="204"/>
      </rPr>
      <t>("Таъминот ва логистика" ДУК орқали)</t>
    </r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</si>
  <si>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</si>
  <si>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тизимидаги мактабгача таълим ташкилотлари ходимларининг иш ҳақи харажатлари</t>
  </si>
  <si>
    <t>Мактабгача ва мактаб таълими вазирлигининг марказлаштирилган тадбирлар ва марказлашган харажатлар, хорижий тил ўқитувчиларини жалб қилиш ва туман (шахар) мактабгача таълим бўлимлари ходимларини рағбатлантириш жамғрамаси бўйича харажатлари</t>
  </si>
  <si>
    <r>
      <rPr>
        <b/>
        <u/>
        <sz val="16"/>
        <color rgb="FFC00000"/>
        <rFont val="Arial"/>
        <family val="2"/>
        <charset val="204"/>
      </rPr>
      <t xml:space="preserve">2023 йилнинг 9 ойлигида </t>
    </r>
    <r>
      <rPr>
        <b/>
        <sz val="16"/>
        <rFont val="Arial"/>
        <family val="2"/>
        <charset val="204"/>
      </rPr>
      <t xml:space="preserve">Мактабгача ва мактаб таълими вазирлигига республика бюджетидан </t>
    </r>
    <r>
      <rPr>
        <b/>
        <sz val="16"/>
        <color theme="4" tint="-0.499984740745262"/>
        <rFont val="Arial"/>
        <family val="2"/>
        <charset val="204"/>
      </rPr>
      <t>ажратилган маблағлар ва уларнинг ижроси</t>
    </r>
    <r>
      <rPr>
        <b/>
        <sz val="16"/>
        <rFont val="Arial"/>
        <family val="2"/>
        <charset val="204"/>
      </rPr>
      <t xml:space="preserve"> тўғрисида 
ДАСТЛАБКИ 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</si>
</sst>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u/>
      <sz val="16"/>
      <color rgb="FFC00000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49">
    <xf numFmtId="0" fontId="0" fillId="0" borderId="0" xfId="0"/>
    <xf numFmtId="0" fontId="12" fillId="0" borderId="30" xfId="0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14" fontId="12" fillId="0" borderId="32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wrapText="1"/>
    </xf>
    <xf numFmtId="14" fontId="13" fillId="0" borderId="33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wrapText="1"/>
    </xf>
    <xf numFmtId="0" fontId="13" fillId="2" borderId="33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3" fillId="2" borderId="33" xfId="0" applyNumberFormat="1" applyFont="1" applyFill="1" applyBorder="1" applyAlignment="1">
      <alignment horizontal="center" vertical="center" wrapText="1"/>
    </xf>
    <xf numFmtId="4" fontId="13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left" vertical="top" wrapText="1"/>
    </xf>
    <xf numFmtId="0" fontId="14" fillId="0" borderId="0" xfId="0" applyFont="1"/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 wrapText="1"/>
    </xf>
    <xf numFmtId="0" fontId="15" fillId="0" borderId="0" xfId="0" applyFont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left" vertical="center" indent="1"/>
    </xf>
    <xf numFmtId="3" fontId="3" fillId="0" borderId="6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right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3" fontId="9" fillId="3" borderId="0" xfId="0" applyNumberFormat="1" applyFont="1" applyFill="1" applyAlignment="1">
      <alignment horizontal="left" vertical="top" wrapText="1"/>
    </xf>
    <xf numFmtId="9" fontId="9" fillId="3" borderId="0" xfId="1" applyFont="1" applyFill="1" applyAlignment="1">
      <alignment horizontal="left" vertical="top" wrapText="1"/>
    </xf>
    <xf numFmtId="3" fontId="11" fillId="3" borderId="0" xfId="0" applyNumberFormat="1" applyFont="1" applyFill="1" applyAlignment="1">
      <alignment horizontal="right" vertical="top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23" fillId="3" borderId="20" xfId="0" applyNumberFormat="1" applyFont="1" applyFill="1" applyBorder="1" applyAlignment="1">
      <alignment horizontal="center" vertical="center" wrapText="1"/>
    </xf>
    <xf numFmtId="3" fontId="23" fillId="3" borderId="37" xfId="0" applyNumberFormat="1" applyFont="1" applyFill="1" applyBorder="1" applyAlignment="1">
      <alignment horizontal="center" vertical="center" wrapText="1"/>
    </xf>
    <xf numFmtId="3" fontId="23" fillId="3" borderId="16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left" vertical="center" wrapText="1" indent="2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3" borderId="24" xfId="0" applyNumberFormat="1" applyFont="1" applyFill="1" applyBorder="1" applyAlignment="1">
      <alignment horizontal="center" vertical="center" wrapText="1"/>
    </xf>
    <xf numFmtId="3" fontId="9" fillId="3" borderId="39" xfId="0" applyNumberFormat="1" applyFont="1" applyFill="1" applyBorder="1" applyAlignment="1">
      <alignment horizontal="center" vertical="center" wrapText="1"/>
    </xf>
    <xf numFmtId="3" fontId="9" fillId="3" borderId="39" xfId="0" applyNumberFormat="1" applyFont="1" applyFill="1" applyBorder="1" applyAlignment="1">
      <alignment horizontal="left" vertical="center" wrapText="1" indent="2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3" fontId="9" fillId="3" borderId="38" xfId="0" applyNumberFormat="1" applyFont="1" applyFill="1" applyBorder="1" applyAlignment="1">
      <alignment horizontal="center" vertical="center" wrapText="1"/>
    </xf>
    <xf numFmtId="164" fontId="9" fillId="3" borderId="38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164" fontId="24" fillId="3" borderId="9" xfId="0" applyNumberFormat="1" applyFont="1" applyFill="1" applyBorder="1" applyAlignment="1">
      <alignment horizontal="center" vertical="center" wrapText="1"/>
    </xf>
    <xf numFmtId="3" fontId="9" fillId="3" borderId="39" xfId="0" applyNumberFormat="1" applyFont="1" applyFill="1" applyBorder="1" applyAlignment="1">
      <alignment horizontal="left" vertical="center" indent="2"/>
    </xf>
    <xf numFmtId="3" fontId="9" fillId="3" borderId="41" xfId="0" applyNumberFormat="1" applyFont="1" applyFill="1" applyBorder="1" applyAlignment="1">
      <alignment horizontal="center" vertical="center" wrapText="1"/>
    </xf>
    <xf numFmtId="3" fontId="9" fillId="3" borderId="41" xfId="0" applyNumberFormat="1" applyFont="1" applyFill="1" applyBorder="1" applyAlignment="1">
      <alignment horizontal="left" vertical="center" wrapText="1" inden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42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/>
    <xf numFmtId="3" fontId="18" fillId="3" borderId="0" xfId="0" applyNumberFormat="1" applyFont="1" applyFill="1" applyAlignment="1">
      <alignment horizontal="center" vertical="center" wrapText="1"/>
    </xf>
    <xf numFmtId="3" fontId="16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left" vertical="top" wrapText="1"/>
    </xf>
    <xf numFmtId="0" fontId="8" fillId="3" borderId="0" xfId="0" applyFont="1" applyFill="1"/>
    <xf numFmtId="164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23" fillId="3" borderId="20" xfId="0" applyNumberFormat="1" applyFont="1" applyFill="1" applyBorder="1" applyAlignment="1">
      <alignment horizontal="center" vertical="center" wrapText="1"/>
    </xf>
    <xf numFmtId="3" fontId="23" fillId="3" borderId="25" xfId="0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3" fontId="8" fillId="3" borderId="29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6" fillId="3" borderId="24" xfId="0" applyNumberFormat="1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center" vertical="center" wrapText="1"/>
    </xf>
    <xf numFmtId="3" fontId="18" fillId="3" borderId="24" xfId="0" applyNumberFormat="1" applyFont="1" applyFill="1" applyBorder="1" applyAlignment="1">
      <alignment horizontal="center"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6" fillId="3" borderId="9" xfId="0" applyNumberFormat="1" applyFont="1" applyFill="1" applyBorder="1" applyAlignment="1">
      <alignment horizontal="center" vertical="center" wrapText="1"/>
    </xf>
    <xf numFmtId="3" fontId="16" fillId="3" borderId="18" xfId="0" applyNumberFormat="1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19" fillId="3" borderId="10" xfId="0" applyNumberFormat="1" applyFont="1" applyFill="1" applyBorder="1" applyAlignment="1">
      <alignment horizontal="center" vertical="center" wrapText="1"/>
    </xf>
    <xf numFmtId="3" fontId="19" fillId="3" borderId="19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100" t="s">
        <v>1300</v>
      </c>
      <c r="D3" s="100"/>
      <c r="E3" s="100"/>
      <c r="F3" s="100"/>
      <c r="G3" s="100"/>
      <c r="H3" s="100"/>
      <c r="I3" s="100"/>
      <c r="J3" s="100"/>
    </row>
    <row r="4" spans="3:32" ht="16.5" customHeight="1" x14ac:dyDescent="0.3">
      <c r="H4" s="39" t="s">
        <v>1301</v>
      </c>
      <c r="I4" s="39"/>
    </row>
    <row r="5" spans="3:32" ht="45.75" customHeight="1" x14ac:dyDescent="0.3">
      <c r="C5" s="101" t="s">
        <v>5</v>
      </c>
      <c r="D5" s="104" t="s">
        <v>4</v>
      </c>
      <c r="E5" s="104" t="s">
        <v>1302</v>
      </c>
      <c r="F5" s="104"/>
      <c r="G5" s="104"/>
      <c r="H5" s="104"/>
      <c r="I5" s="107"/>
      <c r="J5" s="108"/>
      <c r="K5" s="33"/>
      <c r="L5" s="33"/>
      <c r="M5" s="33"/>
    </row>
    <row r="6" spans="3:32" ht="25.5" customHeight="1" x14ac:dyDescent="0.3">
      <c r="C6" s="102"/>
      <c r="D6" s="105"/>
      <c r="E6" s="109" t="s">
        <v>3</v>
      </c>
      <c r="F6" s="111" t="s">
        <v>0</v>
      </c>
      <c r="G6" s="111"/>
      <c r="H6" s="111"/>
      <c r="I6" s="112"/>
      <c r="J6" s="113"/>
    </row>
    <row r="7" spans="3:32" ht="124.5" customHeight="1" x14ac:dyDescent="0.3">
      <c r="C7" s="103"/>
      <c r="D7" s="106"/>
      <c r="E7" s="110"/>
      <c r="F7" s="40" t="s">
        <v>1303</v>
      </c>
      <c r="G7" s="40" t="s">
        <v>1304</v>
      </c>
      <c r="H7" s="40" t="s">
        <v>2</v>
      </c>
      <c r="I7" s="36" t="s">
        <v>1305</v>
      </c>
      <c r="J7" s="41" t="s">
        <v>1306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1307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1309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1308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1288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1298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1299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98" t="s">
        <v>1259</v>
      </c>
      <c r="D47" s="99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3:W60"/>
  <sheetViews>
    <sheetView tabSelected="1" view="pageBreakPreview" zoomScale="55" zoomScaleNormal="55" zoomScaleSheetLayoutView="5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O10" sqref="O10:P10"/>
    </sheetView>
  </sheetViews>
  <sheetFormatPr defaultRowHeight="18" x14ac:dyDescent="0.25"/>
  <cols>
    <col min="1" max="1" width="9.140625" style="89"/>
    <col min="2" max="2" width="2.140625" style="89" customWidth="1"/>
    <col min="3" max="3" width="5.85546875" style="51" customWidth="1"/>
    <col min="4" max="4" width="93" style="51" customWidth="1"/>
    <col min="5" max="6" width="21.5703125" style="51" customWidth="1"/>
    <col min="7" max="7" width="23.5703125" style="51" customWidth="1"/>
    <col min="8" max="8" width="23.140625" style="51" customWidth="1"/>
    <col min="9" max="16" width="21.28515625" style="51" customWidth="1"/>
    <col min="17" max="17" width="3" style="51" customWidth="1"/>
    <col min="18" max="19" width="11.85546875" style="51" bestFit="1" customWidth="1"/>
    <col min="20" max="23" width="9.140625" style="51"/>
    <col min="24" max="16384" width="9.140625" style="89"/>
  </cols>
  <sheetData>
    <row r="3" spans="3:23" ht="61.5" customHeight="1" x14ac:dyDescent="0.25">
      <c r="C3" s="116" t="s">
        <v>1359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88"/>
    </row>
    <row r="4" spans="3:23" ht="17.25" customHeight="1" x14ac:dyDescent="0.25">
      <c r="E4" s="52"/>
      <c r="P4" s="53" t="s">
        <v>1337</v>
      </c>
      <c r="Q4" s="53"/>
    </row>
    <row r="5" spans="3:23" ht="57" customHeight="1" x14ac:dyDescent="0.25">
      <c r="C5" s="117" t="s">
        <v>5</v>
      </c>
      <c r="D5" s="120" t="s">
        <v>1336</v>
      </c>
      <c r="E5" s="123" t="s">
        <v>1342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  <c r="Q5" s="88"/>
    </row>
    <row r="6" spans="3:23" ht="34.5" customHeight="1" x14ac:dyDescent="0.25">
      <c r="C6" s="118"/>
      <c r="D6" s="121"/>
      <c r="E6" s="126" t="s">
        <v>1339</v>
      </c>
      <c r="F6" s="127"/>
      <c r="G6" s="128" t="s">
        <v>0</v>
      </c>
      <c r="H6" s="129"/>
      <c r="I6" s="129"/>
      <c r="J6" s="129"/>
      <c r="K6" s="129"/>
      <c r="L6" s="129"/>
      <c r="M6" s="129"/>
      <c r="N6" s="129"/>
      <c r="O6" s="129"/>
      <c r="P6" s="130"/>
      <c r="Q6" s="90"/>
    </row>
    <row r="7" spans="3:23" ht="126.75" customHeight="1" x14ac:dyDescent="0.25">
      <c r="C7" s="118"/>
      <c r="D7" s="121"/>
      <c r="E7" s="131" t="s">
        <v>1296</v>
      </c>
      <c r="F7" s="133" t="s">
        <v>1297</v>
      </c>
      <c r="G7" s="118" t="s">
        <v>1</v>
      </c>
      <c r="H7" s="135"/>
      <c r="I7" s="135" t="s">
        <v>1310</v>
      </c>
      <c r="J7" s="135"/>
      <c r="K7" s="135" t="s">
        <v>2</v>
      </c>
      <c r="L7" s="135"/>
      <c r="M7" s="136" t="s">
        <v>1341</v>
      </c>
      <c r="N7" s="137"/>
      <c r="O7" s="135" t="s">
        <v>1340</v>
      </c>
      <c r="P7" s="138"/>
      <c r="Q7" s="88"/>
    </row>
    <row r="8" spans="3:23" ht="65.25" customHeight="1" x14ac:dyDescent="0.25">
      <c r="C8" s="119"/>
      <c r="D8" s="122"/>
      <c r="E8" s="132"/>
      <c r="F8" s="134"/>
      <c r="G8" s="54" t="s">
        <v>1296</v>
      </c>
      <c r="H8" s="55" t="s">
        <v>1297</v>
      </c>
      <c r="I8" s="55" t="s">
        <v>1296</v>
      </c>
      <c r="J8" s="55" t="s">
        <v>1297</v>
      </c>
      <c r="K8" s="55" t="s">
        <v>1296</v>
      </c>
      <c r="L8" s="55" t="s">
        <v>1297</v>
      </c>
      <c r="M8" s="55" t="s">
        <v>1296</v>
      </c>
      <c r="N8" s="55" t="s">
        <v>1297</v>
      </c>
      <c r="O8" s="55" t="s">
        <v>1296</v>
      </c>
      <c r="P8" s="56" t="s">
        <v>1297</v>
      </c>
      <c r="Q8" s="88"/>
    </row>
    <row r="9" spans="3:23" s="93" customFormat="1" ht="51.75" customHeight="1" x14ac:dyDescent="0.25">
      <c r="C9" s="114" t="s">
        <v>1259</v>
      </c>
      <c r="D9" s="115"/>
      <c r="E9" s="57">
        <f t="shared" ref="E9:P9" si="0">SUM(E10:E58)</f>
        <v>28222377659.779995</v>
      </c>
      <c r="F9" s="58">
        <f t="shared" si="0"/>
        <v>27034274099.587639</v>
      </c>
      <c r="G9" s="57">
        <f t="shared" si="0"/>
        <v>21125747821.446003</v>
      </c>
      <c r="H9" s="59">
        <f t="shared" si="0"/>
        <v>20803831525.190884</v>
      </c>
      <c r="I9" s="59">
        <f t="shared" si="0"/>
        <v>5167744194.2810001</v>
      </c>
      <c r="J9" s="59">
        <f t="shared" si="0"/>
        <v>5051245308.8679705</v>
      </c>
      <c r="K9" s="59">
        <f t="shared" si="0"/>
        <v>1763255774.9530001</v>
      </c>
      <c r="L9" s="59">
        <f t="shared" si="0"/>
        <v>1134571775.8288</v>
      </c>
      <c r="M9" s="59">
        <f t="shared" si="0"/>
        <v>667373.99900000007</v>
      </c>
      <c r="N9" s="59">
        <f t="shared" si="0"/>
        <v>615328.37826999987</v>
      </c>
      <c r="O9" s="59">
        <f t="shared" si="0"/>
        <v>165629869.09999999</v>
      </c>
      <c r="P9" s="58">
        <f t="shared" si="0"/>
        <v>44625489.700000003</v>
      </c>
      <c r="Q9" s="91"/>
      <c r="R9" s="148">
        <f>100*F9/E9</f>
        <v>95.790207421518787</v>
      </c>
      <c r="S9" s="92"/>
      <c r="T9" s="92"/>
      <c r="U9" s="92"/>
      <c r="V9" s="92"/>
      <c r="W9" s="92"/>
    </row>
    <row r="10" spans="3:23" ht="65.25" customHeight="1" x14ac:dyDescent="0.25">
      <c r="C10" s="60">
        <v>1</v>
      </c>
      <c r="D10" s="61" t="s">
        <v>1350</v>
      </c>
      <c r="E10" s="62">
        <f t="shared" ref="E10:F24" si="1">+G10+K10+O10+I10</f>
        <v>21872849828.530994</v>
      </c>
      <c r="F10" s="63">
        <f>+H10+L10+P10+J10</f>
        <v>21396817622.806091</v>
      </c>
      <c r="G10" s="64">
        <v>17426543362.421997</v>
      </c>
      <c r="H10" s="65">
        <v>17171889614.60104</v>
      </c>
      <c r="I10" s="65">
        <v>4280676597.0089998</v>
      </c>
      <c r="J10" s="65">
        <v>4180302518.5050502</v>
      </c>
      <c r="K10" s="66"/>
      <c r="L10" s="66"/>
      <c r="M10" s="66"/>
      <c r="N10" s="66"/>
      <c r="O10" s="66">
        <v>165629869.09999999</v>
      </c>
      <c r="P10" s="67">
        <v>44625489.700000003</v>
      </c>
      <c r="Q10" s="94"/>
    </row>
    <row r="11" spans="3:23" ht="65.25" customHeight="1" x14ac:dyDescent="0.25">
      <c r="C11" s="68">
        <v>2</v>
      </c>
      <c r="D11" s="69" t="s">
        <v>1357</v>
      </c>
      <c r="E11" s="70">
        <f t="shared" ref="E11" si="2">+G11+K11+O11+I11</f>
        <v>4403748903.8660002</v>
      </c>
      <c r="F11" s="71">
        <f>+H11+L11+P11+J11</f>
        <v>4343364295.6654196</v>
      </c>
      <c r="G11" s="72">
        <v>3547407213.915</v>
      </c>
      <c r="H11" s="73">
        <v>3499066905.9662199</v>
      </c>
      <c r="I11" s="73">
        <v>856341689.95099998</v>
      </c>
      <c r="J11" s="73">
        <v>844297389.69919991</v>
      </c>
      <c r="K11" s="74"/>
      <c r="L11" s="75"/>
      <c r="M11" s="75"/>
      <c r="N11" s="75"/>
      <c r="O11" s="75"/>
      <c r="P11" s="76"/>
      <c r="Q11" s="94"/>
    </row>
    <row r="12" spans="3:23" s="96" customFormat="1" ht="51.75" customHeight="1" x14ac:dyDescent="0.25">
      <c r="C12" s="68">
        <f>+C11+1</f>
        <v>3</v>
      </c>
      <c r="D12" s="69" t="s">
        <v>1351</v>
      </c>
      <c r="E12" s="70">
        <f t="shared" si="1"/>
        <v>11670013.452</v>
      </c>
      <c r="F12" s="71">
        <f t="shared" si="1"/>
        <v>11433126.080559999</v>
      </c>
      <c r="G12" s="77">
        <v>7114890.4900000002</v>
      </c>
      <c r="H12" s="75">
        <v>7114275.4900000002</v>
      </c>
      <c r="I12" s="75">
        <v>1684375.267</v>
      </c>
      <c r="J12" s="75">
        <v>1684372.267</v>
      </c>
      <c r="K12" s="75">
        <v>2870747.6949999998</v>
      </c>
      <c r="L12" s="75">
        <v>2634478.3235599999</v>
      </c>
      <c r="M12" s="75">
        <v>394622.09899999999</v>
      </c>
      <c r="N12" s="75">
        <v>389476.09899999999</v>
      </c>
      <c r="O12" s="75"/>
      <c r="P12" s="76"/>
      <c r="Q12" s="94"/>
      <c r="R12" s="95"/>
      <c r="S12" s="95"/>
      <c r="T12" s="95"/>
      <c r="U12" s="95"/>
      <c r="V12" s="95"/>
      <c r="W12" s="95"/>
    </row>
    <row r="13" spans="3:23" s="96" customFormat="1" ht="97.5" customHeight="1" x14ac:dyDescent="0.25">
      <c r="C13" s="68">
        <f t="shared" ref="C13:C46" si="3">+C12+1</f>
        <v>4</v>
      </c>
      <c r="D13" s="69" t="s">
        <v>1358</v>
      </c>
      <c r="E13" s="70">
        <f t="shared" si="1"/>
        <v>98381223</v>
      </c>
      <c r="F13" s="71">
        <f t="shared" si="1"/>
        <v>55014328</v>
      </c>
      <c r="G13" s="77"/>
      <c r="H13" s="75"/>
      <c r="I13" s="75"/>
      <c r="J13" s="75"/>
      <c r="K13" s="75">
        <v>98381223</v>
      </c>
      <c r="L13" s="75">
        <v>55014328</v>
      </c>
      <c r="M13" s="75"/>
      <c r="N13" s="75"/>
      <c r="O13" s="75"/>
      <c r="P13" s="76"/>
      <c r="Q13" s="94"/>
      <c r="R13" s="95"/>
      <c r="S13" s="95"/>
      <c r="T13" s="95"/>
      <c r="U13" s="95"/>
      <c r="V13" s="95"/>
      <c r="W13" s="95"/>
    </row>
    <row r="14" spans="3:23" s="96" customFormat="1" ht="58.5" customHeight="1" x14ac:dyDescent="0.25">
      <c r="C14" s="68">
        <f t="shared" si="3"/>
        <v>5</v>
      </c>
      <c r="D14" s="69" t="s">
        <v>1311</v>
      </c>
      <c r="E14" s="70">
        <f t="shared" si="1"/>
        <v>9463512</v>
      </c>
      <c r="F14" s="71">
        <f t="shared" si="1"/>
        <v>6801263.6470800005</v>
      </c>
      <c r="G14" s="77">
        <f>1815510.618+4360499.382</f>
        <v>6176010</v>
      </c>
      <c r="H14" s="75">
        <f>1814267.7373+3016759.24598</f>
        <v>4831026.9832800003</v>
      </c>
      <c r="I14" s="75">
        <f>324006.731+901213.269</f>
        <v>1225220</v>
      </c>
      <c r="J14" s="75">
        <f>324006.731+582264.15</f>
        <v>906270.88100000005</v>
      </c>
      <c r="K14" s="75">
        <f>275801.734+1786480.266</f>
        <v>2062282</v>
      </c>
      <c r="L14" s="75">
        <f>274848.07983+789117.70297</f>
        <v>1063965.7827999999</v>
      </c>
      <c r="M14" s="75">
        <f>7493+12535</f>
        <v>20028</v>
      </c>
      <c r="N14" s="75">
        <f>7492.5+12525.75</f>
        <v>20018.25</v>
      </c>
      <c r="O14" s="75"/>
      <c r="P14" s="76"/>
      <c r="Q14" s="94"/>
      <c r="R14" s="95"/>
      <c r="S14" s="95"/>
      <c r="T14" s="95"/>
      <c r="U14" s="95"/>
      <c r="V14" s="95"/>
      <c r="W14" s="95"/>
    </row>
    <row r="15" spans="3:23" s="96" customFormat="1" ht="58.5" customHeight="1" x14ac:dyDescent="0.25">
      <c r="C15" s="68">
        <f t="shared" si="3"/>
        <v>6</v>
      </c>
      <c r="D15" s="69" t="s">
        <v>1312</v>
      </c>
      <c r="E15" s="70">
        <f t="shared" si="1"/>
        <v>8631997</v>
      </c>
      <c r="F15" s="71">
        <f t="shared" si="1"/>
        <v>7809781.7134800004</v>
      </c>
      <c r="G15" s="77">
        <f>1869956.599+3815059.401</f>
        <v>5685016</v>
      </c>
      <c r="H15" s="75">
        <f>1869956.599+3235201.073</f>
        <v>5105157.6720000003</v>
      </c>
      <c r="I15" s="75">
        <f>515627.15+892319.85</f>
        <v>1407947</v>
      </c>
      <c r="J15" s="75">
        <f>515627.15+748041.942</f>
        <v>1263669.0920000002</v>
      </c>
      <c r="K15" s="75">
        <f>161006+1378028</f>
        <v>1539034</v>
      </c>
      <c r="L15" s="75">
        <f>157299.9472+1283655.00228</f>
        <v>1440954.94948</v>
      </c>
      <c r="M15" s="75"/>
      <c r="N15" s="75"/>
      <c r="O15" s="75"/>
      <c r="P15" s="76"/>
      <c r="Q15" s="94"/>
      <c r="R15" s="95"/>
      <c r="S15" s="95"/>
      <c r="T15" s="95"/>
      <c r="U15" s="95"/>
      <c r="V15" s="95"/>
      <c r="W15" s="95"/>
    </row>
    <row r="16" spans="3:23" s="96" customFormat="1" ht="58.5" customHeight="1" x14ac:dyDescent="0.25">
      <c r="C16" s="68">
        <f t="shared" si="3"/>
        <v>7</v>
      </c>
      <c r="D16" s="69" t="s">
        <v>1313</v>
      </c>
      <c r="E16" s="70">
        <f t="shared" si="1"/>
        <v>7095763</v>
      </c>
      <c r="F16" s="71">
        <f t="shared" si="1"/>
        <v>4931607.39934</v>
      </c>
      <c r="G16" s="77">
        <f>1021052.825+3159157.175</f>
        <v>4180210</v>
      </c>
      <c r="H16" s="75">
        <f>1021052.1847+1903249.29473</f>
        <v>2924301.4794299998</v>
      </c>
      <c r="I16" s="75">
        <f>246880.668+787912.332</f>
        <v>1034793</v>
      </c>
      <c r="J16" s="75">
        <f>246880.66735+440070.45954</f>
        <v>686951.12688999996</v>
      </c>
      <c r="K16" s="75">
        <f>73037+1807723</f>
        <v>1880760</v>
      </c>
      <c r="L16" s="75">
        <f>73036.28888+1247318.50414</f>
        <v>1320354.79302</v>
      </c>
      <c r="M16" s="75"/>
      <c r="N16" s="75"/>
      <c r="O16" s="75"/>
      <c r="P16" s="76"/>
      <c r="Q16" s="94"/>
      <c r="R16" s="95"/>
      <c r="S16" s="95"/>
      <c r="T16" s="95"/>
      <c r="U16" s="95"/>
      <c r="V16" s="95"/>
      <c r="W16" s="95"/>
    </row>
    <row r="17" spans="3:23" s="96" customFormat="1" ht="58.5" customHeight="1" x14ac:dyDescent="0.25">
      <c r="C17" s="68">
        <f t="shared" si="3"/>
        <v>8</v>
      </c>
      <c r="D17" s="69" t="s">
        <v>1314</v>
      </c>
      <c r="E17" s="70">
        <f t="shared" si="1"/>
        <v>6985129</v>
      </c>
      <c r="F17" s="71">
        <f>+H17+L17+P17+J17</f>
        <v>6083700.0063899998</v>
      </c>
      <c r="G17" s="77">
        <f>1409053.987+2864899.013</f>
        <v>4273953</v>
      </c>
      <c r="H17" s="75">
        <f>1408505.557+2689264.102</f>
        <v>4097769.659</v>
      </c>
      <c r="I17" s="75">
        <f>375230.509+688625.491</f>
        <v>1063856</v>
      </c>
      <c r="J17" s="75">
        <f>375230.509+685143.34</f>
        <v>1060373.8489999999</v>
      </c>
      <c r="K17" s="75">
        <f>205806+1441514</f>
        <v>1647320</v>
      </c>
      <c r="L17" s="75">
        <f>205769.33639+719787.162</f>
        <v>925556.49839000008</v>
      </c>
      <c r="M17" s="75">
        <v>4500</v>
      </c>
      <c r="N17" s="75">
        <v>4498.77639</v>
      </c>
      <c r="O17" s="75"/>
      <c r="P17" s="76"/>
      <c r="Q17" s="94"/>
      <c r="R17" s="95"/>
      <c r="S17" s="95"/>
      <c r="T17" s="95"/>
      <c r="U17" s="95"/>
      <c r="V17" s="95"/>
      <c r="W17" s="95"/>
    </row>
    <row r="18" spans="3:23" s="96" customFormat="1" ht="58.5" customHeight="1" x14ac:dyDescent="0.25">
      <c r="C18" s="68">
        <f t="shared" si="3"/>
        <v>9</v>
      </c>
      <c r="D18" s="69" t="s">
        <v>1315</v>
      </c>
      <c r="E18" s="70">
        <f t="shared" si="1"/>
        <v>7955571</v>
      </c>
      <c r="F18" s="71">
        <f t="shared" si="1"/>
        <v>5992809.9531300003</v>
      </c>
      <c r="G18" s="77">
        <f>1093204.149+2436736.851</f>
        <v>3529941</v>
      </c>
      <c r="H18" s="75">
        <f>1093204.149+2031008.392</f>
        <v>3124212.5410000002</v>
      </c>
      <c r="I18" s="75">
        <f>283964.342+585310.658</f>
        <v>869275</v>
      </c>
      <c r="J18" s="75">
        <f>283964.342+492306.023</f>
        <v>776270.36499999999</v>
      </c>
      <c r="K18" s="75">
        <f>176373+3379982</f>
        <v>3556355</v>
      </c>
      <c r="L18" s="75">
        <f>175216.7744+1917110.27273</f>
        <v>2092327.0471300001</v>
      </c>
      <c r="M18" s="75"/>
      <c r="N18" s="75"/>
      <c r="O18" s="75"/>
      <c r="P18" s="76"/>
      <c r="Q18" s="94"/>
      <c r="R18" s="95"/>
      <c r="S18" s="95"/>
      <c r="T18" s="95"/>
      <c r="U18" s="95"/>
      <c r="V18" s="95"/>
      <c r="W18" s="95"/>
    </row>
    <row r="19" spans="3:23" s="96" customFormat="1" ht="58.5" customHeight="1" x14ac:dyDescent="0.25">
      <c r="C19" s="68">
        <f t="shared" si="3"/>
        <v>10</v>
      </c>
      <c r="D19" s="69" t="s">
        <v>1316</v>
      </c>
      <c r="E19" s="70">
        <f t="shared" si="1"/>
        <v>9018390</v>
      </c>
      <c r="F19" s="71">
        <f t="shared" si="1"/>
        <v>7839939.2819999997</v>
      </c>
      <c r="G19" s="77">
        <f>1640776.059+3415656.941</f>
        <v>5056433</v>
      </c>
      <c r="H19" s="75">
        <f>1640776.059+2836974.163</f>
        <v>4477750.2220000001</v>
      </c>
      <c r="I19" s="75">
        <f>446886.709+805190.291</f>
        <v>1252077</v>
      </c>
      <c r="J19" s="75">
        <f>446886.709+651511.124</f>
        <v>1098397.8329999999</v>
      </c>
      <c r="K19" s="75">
        <f>186626+2523254</f>
        <v>2709880</v>
      </c>
      <c r="L19" s="75">
        <f>185109.6+2078681.627</f>
        <v>2263791.227</v>
      </c>
      <c r="M19" s="75"/>
      <c r="N19" s="75"/>
      <c r="O19" s="75"/>
      <c r="P19" s="76"/>
      <c r="Q19" s="94"/>
      <c r="R19" s="95"/>
      <c r="S19" s="95"/>
      <c r="T19" s="95"/>
      <c r="U19" s="95"/>
      <c r="V19" s="95"/>
      <c r="W19" s="95"/>
    </row>
    <row r="20" spans="3:23" s="96" customFormat="1" ht="58.5" customHeight="1" x14ac:dyDescent="0.25">
      <c r="C20" s="68">
        <f t="shared" si="3"/>
        <v>11</v>
      </c>
      <c r="D20" s="69" t="s">
        <v>1317</v>
      </c>
      <c r="E20" s="70">
        <f t="shared" si="1"/>
        <v>7936776</v>
      </c>
      <c r="F20" s="71">
        <f t="shared" si="1"/>
        <v>5624243.4877499994</v>
      </c>
      <c r="G20" s="77">
        <f>1315892.584+2807936.416</f>
        <v>4123829</v>
      </c>
      <c r="H20" s="75">
        <f>1315892.495+2143919</f>
        <v>3459811.4950000001</v>
      </c>
      <c r="I20" s="75">
        <f>343982.814+677050.186</f>
        <v>1021033</v>
      </c>
      <c r="J20" s="75">
        <f>343982.814+491734.343</f>
        <v>835717.15700000001</v>
      </c>
      <c r="K20" s="75">
        <f>86229+2705685</f>
        <v>2791914</v>
      </c>
      <c r="L20" s="75">
        <f>81036.954+1247677.88175</f>
        <v>1328714.8357499999</v>
      </c>
      <c r="M20" s="75"/>
      <c r="N20" s="75"/>
      <c r="O20" s="75"/>
      <c r="P20" s="76"/>
      <c r="Q20" s="94"/>
      <c r="R20" s="95"/>
      <c r="S20" s="95"/>
      <c r="T20" s="95"/>
      <c r="U20" s="95"/>
      <c r="V20" s="95"/>
      <c r="W20" s="95"/>
    </row>
    <row r="21" spans="3:23" s="96" customFormat="1" ht="58.5" customHeight="1" x14ac:dyDescent="0.25">
      <c r="C21" s="68">
        <f t="shared" si="3"/>
        <v>12</v>
      </c>
      <c r="D21" s="69" t="s">
        <v>1318</v>
      </c>
      <c r="E21" s="70">
        <f t="shared" si="1"/>
        <v>7075905</v>
      </c>
      <c r="F21" s="71">
        <f t="shared" si="1"/>
        <v>5888778.6466799993</v>
      </c>
      <c r="G21" s="77">
        <f>1499410.455+3196058.545</f>
        <v>4695469</v>
      </c>
      <c r="H21" s="75">
        <f>1499410.455+2328393.371</f>
        <v>3827803.8259999999</v>
      </c>
      <c r="I21" s="75">
        <f>397447.599+765298.401</f>
        <v>1162746</v>
      </c>
      <c r="J21" s="75">
        <f>397447.599+539601.341</f>
        <v>937048.94</v>
      </c>
      <c r="K21" s="75">
        <f>216274+1001416</f>
        <v>1217690</v>
      </c>
      <c r="L21" s="75">
        <f>215778.51269+908147.36799</f>
        <v>1123925.8806799999</v>
      </c>
      <c r="M21" s="75"/>
      <c r="N21" s="75"/>
      <c r="O21" s="75"/>
      <c r="P21" s="76"/>
      <c r="Q21" s="94"/>
      <c r="R21" s="95"/>
      <c r="S21" s="95"/>
      <c r="T21" s="95"/>
      <c r="U21" s="95"/>
      <c r="V21" s="95"/>
      <c r="W21" s="95"/>
    </row>
    <row r="22" spans="3:23" s="96" customFormat="1" ht="58.5" customHeight="1" x14ac:dyDescent="0.25">
      <c r="C22" s="68">
        <f t="shared" si="3"/>
        <v>13</v>
      </c>
      <c r="D22" s="69" t="s">
        <v>1319</v>
      </c>
      <c r="E22" s="70">
        <f t="shared" si="1"/>
        <v>9433254</v>
      </c>
      <c r="F22" s="71">
        <f t="shared" si="1"/>
        <v>8412468.4400300011</v>
      </c>
      <c r="G22" s="77">
        <f>2288114.521+3993059.479</f>
        <v>6281174</v>
      </c>
      <c r="H22" s="75">
        <f>2288114.521+3381000.32</f>
        <v>5669114.841</v>
      </c>
      <c r="I22" s="75">
        <f>594058.777+952721.223</f>
        <v>1546780</v>
      </c>
      <c r="J22" s="75">
        <f>594058.777+791238.649</f>
        <v>1385297.426</v>
      </c>
      <c r="K22" s="75">
        <f>105721.306+1499578.694</f>
        <v>1605300</v>
      </c>
      <c r="L22" s="75">
        <f>97141.28332+1260914.88971</f>
        <v>1358056.1730299999</v>
      </c>
      <c r="M22" s="75"/>
      <c r="N22" s="75"/>
      <c r="O22" s="75"/>
      <c r="P22" s="76"/>
      <c r="Q22" s="94"/>
      <c r="R22" s="95"/>
      <c r="S22" s="95"/>
      <c r="T22" s="95"/>
      <c r="U22" s="95"/>
      <c r="V22" s="95"/>
      <c r="W22" s="95"/>
    </row>
    <row r="23" spans="3:23" s="96" customFormat="1" ht="58.5" customHeight="1" x14ac:dyDescent="0.25">
      <c r="C23" s="68">
        <f t="shared" si="3"/>
        <v>14</v>
      </c>
      <c r="D23" s="69" t="s">
        <v>1320</v>
      </c>
      <c r="E23" s="70">
        <f t="shared" si="1"/>
        <v>9040131</v>
      </c>
      <c r="F23" s="71">
        <f t="shared" si="1"/>
        <v>6875356.6159999995</v>
      </c>
      <c r="G23" s="77">
        <f>1579782.348+3388604.852</f>
        <v>4968387.2</v>
      </c>
      <c r="H23" s="75">
        <f>1579782.348+3000351.919</f>
        <v>4580134.267</v>
      </c>
      <c r="I23" s="75">
        <f>448777.087+772366.713</f>
        <v>1221143.8</v>
      </c>
      <c r="J23" s="75">
        <f>448777.087+743822.48</f>
        <v>1192599.567</v>
      </c>
      <c r="K23" s="75">
        <f>59380+2791220</f>
        <v>2850600</v>
      </c>
      <c r="L23" s="75">
        <f>43719.9+1058902.882</f>
        <v>1102622.7819999999</v>
      </c>
      <c r="M23" s="75"/>
      <c r="N23" s="75"/>
      <c r="O23" s="75"/>
      <c r="P23" s="76"/>
      <c r="Q23" s="94"/>
      <c r="R23" s="95"/>
      <c r="S23" s="95"/>
      <c r="T23" s="95"/>
      <c r="U23" s="95"/>
      <c r="V23" s="95"/>
      <c r="W23" s="95"/>
    </row>
    <row r="24" spans="3:23" s="96" customFormat="1" ht="58.5" customHeight="1" x14ac:dyDescent="0.25">
      <c r="C24" s="68">
        <f t="shared" si="3"/>
        <v>15</v>
      </c>
      <c r="D24" s="69" t="s">
        <v>1322</v>
      </c>
      <c r="E24" s="70">
        <f t="shared" si="1"/>
        <v>5776180</v>
      </c>
      <c r="F24" s="71">
        <f t="shared" si="1"/>
        <v>3448232.4659999995</v>
      </c>
      <c r="G24" s="77">
        <f>801901.566+1889321.434</f>
        <v>2691223</v>
      </c>
      <c r="H24" s="75">
        <f>801901.566+1143162.132</f>
        <v>1945063.6979999999</v>
      </c>
      <c r="I24" s="75">
        <f>212481.413+453545.587</f>
        <v>666027</v>
      </c>
      <c r="J24" s="75">
        <f>212481.413+266536.754</f>
        <v>479018.16700000002</v>
      </c>
      <c r="K24" s="75">
        <f>112497+2306433</f>
        <v>2418930</v>
      </c>
      <c r="L24" s="75">
        <f>112097.159+912053.442</f>
        <v>1024150.601</v>
      </c>
      <c r="M24" s="75"/>
      <c r="N24" s="75"/>
      <c r="O24" s="75"/>
      <c r="P24" s="76"/>
      <c r="Q24" s="94"/>
      <c r="R24" s="95"/>
      <c r="S24" s="95"/>
      <c r="T24" s="95"/>
      <c r="U24" s="95"/>
      <c r="V24" s="95"/>
      <c r="W24" s="95"/>
    </row>
    <row r="25" spans="3:23" s="96" customFormat="1" ht="58.5" customHeight="1" x14ac:dyDescent="0.25">
      <c r="C25" s="68">
        <f t="shared" si="3"/>
        <v>16</v>
      </c>
      <c r="D25" s="69" t="s">
        <v>1321</v>
      </c>
      <c r="E25" s="70">
        <f t="shared" ref="E25:F58" si="4">+G25+K25+O25+I25</f>
        <v>6920399</v>
      </c>
      <c r="F25" s="71">
        <f t="shared" si="4"/>
        <v>6117834.6502899993</v>
      </c>
      <c r="G25" s="77">
        <f>1688773.215+2560842.785</f>
        <v>4249616</v>
      </c>
      <c r="H25" s="75">
        <f>1688773.215+2190466.89245</f>
        <v>3879240.10745</v>
      </c>
      <c r="I25" s="75">
        <f>416039.907+636593.093</f>
        <v>1052633</v>
      </c>
      <c r="J25" s="75">
        <f>416039.907+520124.068</f>
        <v>936163.97500000009</v>
      </c>
      <c r="K25" s="75">
        <f>204600+1413550</f>
        <v>1618150</v>
      </c>
      <c r="L25" s="75">
        <f>188339.393+1114091.17484</f>
        <v>1302430.5678399999</v>
      </c>
      <c r="M25" s="75"/>
      <c r="N25" s="75"/>
      <c r="O25" s="75"/>
      <c r="P25" s="76"/>
      <c r="Q25" s="94"/>
      <c r="R25" s="95"/>
      <c r="S25" s="95"/>
      <c r="T25" s="95"/>
      <c r="U25" s="95"/>
      <c r="V25" s="95"/>
      <c r="W25" s="95"/>
    </row>
    <row r="26" spans="3:23" s="96" customFormat="1" ht="58.5" customHeight="1" x14ac:dyDescent="0.25">
      <c r="C26" s="68">
        <f t="shared" si="3"/>
        <v>17</v>
      </c>
      <c r="D26" s="69" t="s">
        <v>1323</v>
      </c>
      <c r="E26" s="70">
        <f t="shared" si="4"/>
        <v>9051745</v>
      </c>
      <c r="F26" s="71">
        <f t="shared" si="4"/>
        <v>7096962.0981799997</v>
      </c>
      <c r="G26" s="77">
        <f>1752480.303+4233436.697</f>
        <v>5985917</v>
      </c>
      <c r="H26" s="75">
        <f>1752480.303+2848434.545</f>
        <v>4600914.8480000002</v>
      </c>
      <c r="I26" s="75">
        <f>476064.933+1006243.067</f>
        <v>1482308</v>
      </c>
      <c r="J26" s="75">
        <f>476064.933+663858.895</f>
        <v>1139923.828</v>
      </c>
      <c r="K26" s="75">
        <f>213132+1370388</f>
        <v>1583520</v>
      </c>
      <c r="L26" s="75">
        <f>212899.3776+1143224.04458</f>
        <v>1356123.42218</v>
      </c>
      <c r="M26" s="75"/>
      <c r="N26" s="75"/>
      <c r="O26" s="75"/>
      <c r="P26" s="76"/>
      <c r="Q26" s="94"/>
      <c r="R26" s="95"/>
      <c r="S26" s="95"/>
      <c r="T26" s="95"/>
      <c r="U26" s="95"/>
      <c r="V26" s="95"/>
      <c r="W26" s="95"/>
    </row>
    <row r="27" spans="3:23" s="96" customFormat="1" ht="58.5" customHeight="1" x14ac:dyDescent="0.25">
      <c r="C27" s="68">
        <f t="shared" si="3"/>
        <v>18</v>
      </c>
      <c r="D27" s="69" t="s">
        <v>1324</v>
      </c>
      <c r="E27" s="70">
        <f t="shared" si="4"/>
        <v>7643207</v>
      </c>
      <c r="F27" s="71">
        <f t="shared" si="4"/>
        <v>6059010.46808</v>
      </c>
      <c r="G27" s="77">
        <f>996493.394+3223929.606</f>
        <v>4220423</v>
      </c>
      <c r="H27" s="75">
        <f>996493.394+2245923.133</f>
        <v>3242416.5269999998</v>
      </c>
      <c r="I27" s="75">
        <f>248751.558+796082.442</f>
        <v>1044834</v>
      </c>
      <c r="J27" s="75">
        <f>248751.558+525828.112</f>
        <v>774579.66999999993</v>
      </c>
      <c r="K27" s="75">
        <f>180382.96+2197567.04</f>
        <v>2377950</v>
      </c>
      <c r="L27" s="75">
        <f>175393.648+1866620.62308</f>
        <v>2042014.2710800001</v>
      </c>
      <c r="M27" s="75"/>
      <c r="N27" s="75"/>
      <c r="O27" s="75"/>
      <c r="P27" s="76"/>
      <c r="Q27" s="94"/>
      <c r="R27" s="95"/>
      <c r="S27" s="95"/>
      <c r="T27" s="95"/>
      <c r="U27" s="95"/>
      <c r="V27" s="95"/>
      <c r="W27" s="95"/>
    </row>
    <row r="28" spans="3:23" s="96" customFormat="1" ht="58.5" customHeight="1" x14ac:dyDescent="0.25">
      <c r="C28" s="68">
        <f t="shared" si="3"/>
        <v>19</v>
      </c>
      <c r="D28" s="69" t="s">
        <v>1325</v>
      </c>
      <c r="E28" s="70">
        <f t="shared" si="4"/>
        <v>7199193</v>
      </c>
      <c r="F28" s="71">
        <f t="shared" si="4"/>
        <v>4293278.3353700005</v>
      </c>
      <c r="G28" s="77">
        <f>985377.99+2376460.91</f>
        <v>3361838.9000000004</v>
      </c>
      <c r="H28" s="75">
        <f>985377.99+1311820.624</f>
        <v>2297198.6140000001</v>
      </c>
      <c r="I28" s="75">
        <f>250255.379+596148.621</f>
        <v>846404</v>
      </c>
      <c r="J28" s="75">
        <f>250255.379+310286.354</f>
        <v>560541.73300000001</v>
      </c>
      <c r="K28" s="75">
        <f>207950+2783000.1</f>
        <v>2990950.1</v>
      </c>
      <c r="L28" s="75">
        <f>204220.34682+1231317.64155</f>
        <v>1435537.9883700002</v>
      </c>
      <c r="M28" s="75"/>
      <c r="N28" s="75"/>
      <c r="O28" s="75"/>
      <c r="P28" s="76"/>
      <c r="Q28" s="94"/>
      <c r="R28" s="95"/>
      <c r="S28" s="95"/>
      <c r="T28" s="95"/>
      <c r="U28" s="95"/>
      <c r="V28" s="95"/>
      <c r="W28" s="95"/>
    </row>
    <row r="29" spans="3:23" s="96" customFormat="1" ht="47.25" customHeight="1" x14ac:dyDescent="0.25">
      <c r="C29" s="68">
        <f t="shared" si="3"/>
        <v>20</v>
      </c>
      <c r="D29" s="69" t="s">
        <v>1326</v>
      </c>
      <c r="E29" s="70">
        <f t="shared" si="4"/>
        <v>4661748.2209999999</v>
      </c>
      <c r="F29" s="71">
        <f t="shared" si="4"/>
        <v>4451419.6323600002</v>
      </c>
      <c r="G29" s="77">
        <v>2798475.2209999999</v>
      </c>
      <c r="H29" s="75">
        <v>2798474.3629999999</v>
      </c>
      <c r="I29" s="75">
        <v>737626</v>
      </c>
      <c r="J29" s="75">
        <v>690442.62399999995</v>
      </c>
      <c r="K29" s="75">
        <v>1125647</v>
      </c>
      <c r="L29" s="75">
        <v>962502.64536000008</v>
      </c>
      <c r="M29" s="75"/>
      <c r="N29" s="75"/>
      <c r="O29" s="75"/>
      <c r="P29" s="76"/>
      <c r="Q29" s="94"/>
      <c r="R29" s="95"/>
      <c r="S29" s="95"/>
      <c r="T29" s="95"/>
      <c r="U29" s="95"/>
      <c r="V29" s="95"/>
      <c r="W29" s="95"/>
    </row>
    <row r="30" spans="3:23" s="96" customFormat="1" ht="58.5" customHeight="1" x14ac:dyDescent="0.25">
      <c r="C30" s="68">
        <f>+C29+1</f>
        <v>21</v>
      </c>
      <c r="D30" s="69" t="s">
        <v>1327</v>
      </c>
      <c r="E30" s="70">
        <f t="shared" si="4"/>
        <v>7661987.5</v>
      </c>
      <c r="F30" s="71">
        <f t="shared" si="4"/>
        <v>6536849.2347400002</v>
      </c>
      <c r="G30" s="77">
        <f>1392609.677+3431772.323</f>
        <v>4824382</v>
      </c>
      <c r="H30" s="75">
        <f>1392609.659+2899958.569</f>
        <v>4292568.2280000001</v>
      </c>
      <c r="I30" s="75">
        <f>345111.98+848001.52</f>
        <v>1193113.5</v>
      </c>
      <c r="J30" s="75">
        <f>345111.98+709436.863</f>
        <v>1054548.8429999999</v>
      </c>
      <c r="K30" s="75">
        <f>308628+1335864</f>
        <v>1644492</v>
      </c>
      <c r="L30" s="75">
        <f>299173.0758+890559.08794</f>
        <v>1189732.16374</v>
      </c>
      <c r="M30" s="75"/>
      <c r="N30" s="75"/>
      <c r="O30" s="75"/>
      <c r="P30" s="76"/>
      <c r="Q30" s="94"/>
      <c r="R30" s="95"/>
      <c r="S30" s="95"/>
      <c r="T30" s="95"/>
      <c r="U30" s="95"/>
      <c r="V30" s="95"/>
      <c r="W30" s="95"/>
    </row>
    <row r="31" spans="3:23" s="96" customFormat="1" ht="41.25" customHeight="1" x14ac:dyDescent="0.25">
      <c r="C31" s="68">
        <f t="shared" si="3"/>
        <v>22</v>
      </c>
      <c r="D31" s="69" t="s">
        <v>1329</v>
      </c>
      <c r="E31" s="70">
        <f t="shared" si="4"/>
        <v>5386798</v>
      </c>
      <c r="F31" s="71">
        <f t="shared" si="4"/>
        <v>4861913.3075799998</v>
      </c>
      <c r="G31" s="77">
        <f>1303202.50645+2994985.49355</f>
        <v>4298188</v>
      </c>
      <c r="H31" s="75">
        <f>1303202.50645+2594995.0233</f>
        <v>3898197.5297499998</v>
      </c>
      <c r="I31" s="75">
        <f>322180.20779+740020.79221</f>
        <v>1062201</v>
      </c>
      <c r="J31" s="75">
        <f>322180.20779+633254.67004</f>
        <v>955434.87783000001</v>
      </c>
      <c r="K31" s="75">
        <f>830+25579</f>
        <v>26409</v>
      </c>
      <c r="L31" s="75">
        <f>829.5+7451.4</f>
        <v>8280.9</v>
      </c>
      <c r="M31" s="75"/>
      <c r="N31" s="75"/>
      <c r="O31" s="75"/>
      <c r="P31" s="76"/>
      <c r="Q31" s="94"/>
      <c r="R31" s="95"/>
      <c r="S31" s="95"/>
      <c r="T31" s="95"/>
      <c r="U31" s="95"/>
      <c r="V31" s="95"/>
      <c r="W31" s="95"/>
    </row>
    <row r="32" spans="3:23" s="96" customFormat="1" ht="41.25" customHeight="1" x14ac:dyDescent="0.25">
      <c r="C32" s="68">
        <f t="shared" si="3"/>
        <v>23</v>
      </c>
      <c r="D32" s="69" t="s">
        <v>1328</v>
      </c>
      <c r="E32" s="70">
        <f t="shared" si="4"/>
        <v>6206036.5</v>
      </c>
      <c r="F32" s="71">
        <f t="shared" si="4"/>
        <v>4829662.7381300004</v>
      </c>
      <c r="G32" s="77">
        <f>1182107.699+3005995.301</f>
        <v>4188103</v>
      </c>
      <c r="H32" s="75">
        <f>1182107.698+2335579.037</f>
        <v>3517686.7350000003</v>
      </c>
      <c r="I32" s="75">
        <f>284711.972+750447.028</f>
        <v>1035159</v>
      </c>
      <c r="J32" s="75">
        <f>284711.972+564840.298</f>
        <v>849552.27</v>
      </c>
      <c r="K32" s="75">
        <f>169293+813481.5</f>
        <v>982774.5</v>
      </c>
      <c r="L32" s="75">
        <f>158547.24113+303876.492</f>
        <v>462423.73313000007</v>
      </c>
      <c r="M32" s="75">
        <f>12000+5500</f>
        <v>17500</v>
      </c>
      <c r="N32" s="75">
        <v>5497.5</v>
      </c>
      <c r="O32" s="75"/>
      <c r="P32" s="76"/>
      <c r="Q32" s="94"/>
      <c r="R32" s="95"/>
      <c r="S32" s="95"/>
      <c r="T32" s="95"/>
      <c r="U32" s="95"/>
      <c r="V32" s="95"/>
      <c r="W32" s="95"/>
    </row>
    <row r="33" spans="3:23" s="96" customFormat="1" ht="41.25" customHeight="1" x14ac:dyDescent="0.25">
      <c r="C33" s="68">
        <f t="shared" si="3"/>
        <v>24</v>
      </c>
      <c r="D33" s="69" t="s">
        <v>1330</v>
      </c>
      <c r="E33" s="70">
        <f t="shared" si="4"/>
        <v>5131836</v>
      </c>
      <c r="F33" s="71">
        <f t="shared" si="4"/>
        <v>4621716.5272399997</v>
      </c>
      <c r="G33" s="77">
        <f>1067519.216+2560099.784</f>
        <v>3627619</v>
      </c>
      <c r="H33" s="75">
        <f>1067519.216+2189767.153</f>
        <v>3257286.3689999999</v>
      </c>
      <c r="I33" s="75">
        <f>267098.98+636671.02</f>
        <v>903770</v>
      </c>
      <c r="J33" s="75">
        <f>267098.98+538597.498</f>
        <v>805696.478</v>
      </c>
      <c r="K33" s="75">
        <f>447232+153215</f>
        <v>600447</v>
      </c>
      <c r="L33" s="75">
        <f>443683.68063+115049.99961</f>
        <v>558733.68024000002</v>
      </c>
      <c r="M33" s="75"/>
      <c r="N33" s="75"/>
      <c r="O33" s="75"/>
      <c r="P33" s="76"/>
      <c r="Q33" s="94"/>
      <c r="R33" s="95"/>
      <c r="S33" s="95"/>
      <c r="T33" s="95"/>
      <c r="U33" s="95"/>
      <c r="V33" s="95"/>
      <c r="W33" s="95"/>
    </row>
    <row r="34" spans="3:23" s="96" customFormat="1" ht="41.25" customHeight="1" x14ac:dyDescent="0.25">
      <c r="C34" s="68">
        <f>+C33+1</f>
        <v>25</v>
      </c>
      <c r="D34" s="69" t="s">
        <v>1338</v>
      </c>
      <c r="E34" s="70">
        <f t="shared" ref="E34" si="5">+G34+K34+O34+I34</f>
        <v>3224975</v>
      </c>
      <c r="F34" s="71">
        <f t="shared" ref="F34" si="6">+H34+L34+P34+J34</f>
        <v>2707754.9912999999</v>
      </c>
      <c r="G34" s="77">
        <f>475261+1864739</f>
        <v>2340000</v>
      </c>
      <c r="H34" s="75">
        <f>475260.205+1566618.135</f>
        <v>2041878.34</v>
      </c>
      <c r="I34" s="75">
        <f>117620+459380</f>
        <v>577000</v>
      </c>
      <c r="J34" s="75">
        <f>117619.545+385422.495</f>
        <v>503042.04</v>
      </c>
      <c r="K34" s="75">
        <f>24942+283033</f>
        <v>307975</v>
      </c>
      <c r="L34" s="75">
        <f>22217.61+140617.0013</f>
        <v>162834.61129999999</v>
      </c>
      <c r="M34" s="75"/>
      <c r="N34" s="75"/>
      <c r="O34" s="75"/>
      <c r="P34" s="76"/>
      <c r="Q34" s="94"/>
      <c r="R34" s="95"/>
      <c r="S34" s="95"/>
      <c r="T34" s="95"/>
      <c r="U34" s="95"/>
      <c r="V34" s="95"/>
      <c r="W34" s="95"/>
    </row>
    <row r="35" spans="3:23" s="96" customFormat="1" ht="41.25" customHeight="1" x14ac:dyDescent="0.25">
      <c r="C35" s="68">
        <f>+C34+1</f>
        <v>26</v>
      </c>
      <c r="D35" s="69" t="s">
        <v>1331</v>
      </c>
      <c r="E35" s="70">
        <f t="shared" si="4"/>
        <v>6850655</v>
      </c>
      <c r="F35" s="71">
        <f t="shared" si="4"/>
        <v>6168126.6496600006</v>
      </c>
      <c r="G35" s="77">
        <f>1150986+1842614</f>
        <v>2993600</v>
      </c>
      <c r="H35" s="75">
        <f>1150985.2655+1769017.704</f>
        <v>2920002.9694999997</v>
      </c>
      <c r="I35" s="75">
        <f>290030+452470</f>
        <v>742500</v>
      </c>
      <c r="J35" s="75">
        <f>290029.976+422739.173</f>
        <v>712769.14899999998</v>
      </c>
      <c r="K35" s="75">
        <f>669330+2445225</f>
        <v>3114555</v>
      </c>
      <c r="L35" s="75">
        <f>598053.50017+1937301.03099</f>
        <v>2535354.5311600002</v>
      </c>
      <c r="M35" s="75">
        <f>20980+13998.9+7460</f>
        <v>42438.9</v>
      </c>
      <c r="N35" s="75">
        <f>18371.3+13998.9+7459.2</f>
        <v>39829.399999999994</v>
      </c>
      <c r="O35" s="75"/>
      <c r="P35" s="76"/>
      <c r="Q35" s="94"/>
      <c r="R35" s="95"/>
      <c r="S35" s="95"/>
      <c r="T35" s="95"/>
      <c r="U35" s="95"/>
      <c r="V35" s="95"/>
      <c r="W35" s="95"/>
    </row>
    <row r="36" spans="3:23" s="96" customFormat="1" ht="41.25" customHeight="1" x14ac:dyDescent="0.25">
      <c r="C36" s="68">
        <f t="shared" si="3"/>
        <v>27</v>
      </c>
      <c r="D36" s="69" t="s">
        <v>1332</v>
      </c>
      <c r="E36" s="70">
        <f>+G36+K36+O36+I36</f>
        <v>642204</v>
      </c>
      <c r="F36" s="71">
        <f>+H36+L36+P36+J36</f>
        <v>541077.07199999993</v>
      </c>
      <c r="G36" s="77">
        <f>164691+300109</f>
        <v>464800</v>
      </c>
      <c r="H36" s="75">
        <f>164690.031+252560.656</f>
        <v>417250.68699999998</v>
      </c>
      <c r="I36" s="75">
        <f>42256+72964</f>
        <v>115220</v>
      </c>
      <c r="J36" s="75">
        <f>42255.522+58767.693</f>
        <v>101023.215</v>
      </c>
      <c r="K36" s="75">
        <f>13679+48505</f>
        <v>62184</v>
      </c>
      <c r="L36" s="75">
        <f>12648.225+10154.945</f>
        <v>22803.17</v>
      </c>
      <c r="M36" s="75">
        <f>2000+6071+1929</f>
        <v>10000</v>
      </c>
      <c r="N36" s="75">
        <f>1999.5+1928.225</f>
        <v>3927.7249999999999</v>
      </c>
      <c r="O36" s="75"/>
      <c r="P36" s="76"/>
      <c r="Q36" s="94"/>
      <c r="R36" s="95"/>
      <c r="S36" s="95"/>
      <c r="T36" s="95"/>
      <c r="U36" s="95"/>
      <c r="V36" s="95"/>
      <c r="W36" s="95"/>
    </row>
    <row r="37" spans="3:23" s="96" customFormat="1" ht="41.25" customHeight="1" x14ac:dyDescent="0.25">
      <c r="C37" s="68">
        <f t="shared" si="3"/>
        <v>28</v>
      </c>
      <c r="D37" s="69" t="s">
        <v>1333</v>
      </c>
      <c r="E37" s="70">
        <f t="shared" si="4"/>
        <v>904486</v>
      </c>
      <c r="F37" s="71">
        <f t="shared" si="4"/>
        <v>774270.73343000002</v>
      </c>
      <c r="G37" s="77">
        <f>87415+241665</f>
        <v>329080</v>
      </c>
      <c r="H37" s="75">
        <f>87414.18741+195684.06333</f>
        <v>283098.25073999999</v>
      </c>
      <c r="I37" s="75">
        <f>25054+56536</f>
        <v>81590</v>
      </c>
      <c r="J37" s="75">
        <f>25053.54685+46266.01584</f>
        <v>71319.562689999992</v>
      </c>
      <c r="K37" s="75">
        <f>22042+471774</f>
        <v>493816</v>
      </c>
      <c r="L37" s="75">
        <f>22041.47968+397811.44032</f>
        <v>419852.92</v>
      </c>
      <c r="M37" s="75">
        <f>9600+12878+4122</f>
        <v>26600</v>
      </c>
      <c r="N37" s="75">
        <f>5994.995+11247.65312+4121.47968</f>
        <v>21364.127800000002</v>
      </c>
      <c r="O37" s="75"/>
      <c r="P37" s="76"/>
      <c r="Q37" s="94"/>
      <c r="R37" s="95"/>
      <c r="S37" s="95"/>
      <c r="T37" s="95"/>
      <c r="U37" s="95"/>
      <c r="V37" s="95"/>
      <c r="W37" s="95"/>
    </row>
    <row r="38" spans="3:23" s="96" customFormat="1" ht="55.5" customHeight="1" x14ac:dyDescent="0.25">
      <c r="C38" s="68">
        <f>+C37+1</f>
        <v>29</v>
      </c>
      <c r="D38" s="69" t="s">
        <v>1334</v>
      </c>
      <c r="E38" s="70">
        <f t="shared" si="4"/>
        <v>2716926.4939999999</v>
      </c>
      <c r="F38" s="71">
        <f t="shared" si="4"/>
        <v>1991275.1537700002</v>
      </c>
      <c r="G38" s="77">
        <f>405255.994+1319888</f>
        <v>1725143.9939999999</v>
      </c>
      <c r="H38" s="75">
        <f>405251.988+1057590.521</f>
        <v>1462842.5090000001</v>
      </c>
      <c r="I38" s="75">
        <f>99285.5+327688</f>
        <v>426973.5</v>
      </c>
      <c r="J38" s="75">
        <f>99282.922+257818.424</f>
        <v>357101.34600000002</v>
      </c>
      <c r="K38" s="75">
        <f>36501+528308</f>
        <v>564809</v>
      </c>
      <c r="L38" s="75">
        <f>32477.96934+138853.32943</f>
        <v>171331.29877000002</v>
      </c>
      <c r="M38" s="75">
        <f>4732+6152+3073</f>
        <v>13957</v>
      </c>
      <c r="N38" s="75">
        <f>3590+6146.8+3072.3</f>
        <v>12809.099999999999</v>
      </c>
      <c r="O38" s="75"/>
      <c r="P38" s="76"/>
      <c r="Q38" s="94"/>
      <c r="R38" s="95"/>
      <c r="S38" s="95"/>
      <c r="T38" s="95"/>
      <c r="U38" s="95"/>
      <c r="V38" s="95"/>
      <c r="W38" s="95"/>
    </row>
    <row r="39" spans="3:23" s="96" customFormat="1" ht="41.25" customHeight="1" x14ac:dyDescent="0.25">
      <c r="C39" s="68">
        <f t="shared" si="3"/>
        <v>30</v>
      </c>
      <c r="D39" s="69" t="s">
        <v>1260</v>
      </c>
      <c r="E39" s="70">
        <f t="shared" si="4"/>
        <v>5568315</v>
      </c>
      <c r="F39" s="71">
        <f t="shared" si="4"/>
        <v>4959469.51963</v>
      </c>
      <c r="G39" s="77">
        <f>1547932+2524212</f>
        <v>4072144</v>
      </c>
      <c r="H39" s="75">
        <f>1547931.047+2160964.54383</f>
        <v>3708895.5908300001</v>
      </c>
      <c r="I39" s="75">
        <f>416845+591784</f>
        <v>1008629</v>
      </c>
      <c r="J39" s="75">
        <f>416844.772+535113.21871</f>
        <v>951957.99071000004</v>
      </c>
      <c r="K39" s="75">
        <f>84655+402887</f>
        <v>487542</v>
      </c>
      <c r="L39" s="75">
        <f>79841.62115+218774.31694</f>
        <v>298615.93809000001</v>
      </c>
      <c r="M39" s="75">
        <f>15000+13756+5244</f>
        <v>34000</v>
      </c>
      <c r="N39" s="75">
        <f>12067.3+8470+5244</f>
        <v>25781.3</v>
      </c>
      <c r="O39" s="78"/>
      <c r="P39" s="79"/>
      <c r="Q39" s="94"/>
      <c r="R39" s="95"/>
      <c r="S39" s="95"/>
      <c r="T39" s="95"/>
      <c r="U39" s="95"/>
      <c r="V39" s="95"/>
      <c r="W39" s="95"/>
    </row>
    <row r="40" spans="3:23" s="96" customFormat="1" ht="41.25" customHeight="1" x14ac:dyDescent="0.25">
      <c r="C40" s="68">
        <f t="shared" si="3"/>
        <v>31</v>
      </c>
      <c r="D40" s="69" t="s">
        <v>1261</v>
      </c>
      <c r="E40" s="70">
        <f>+G40+K40+O40+I40</f>
        <v>2182952</v>
      </c>
      <c r="F40" s="71">
        <f t="shared" si="4"/>
        <v>2144864.9436499998</v>
      </c>
      <c r="G40" s="77">
        <f>551746+938714</f>
        <v>1490460</v>
      </c>
      <c r="H40" s="75">
        <f>551745.088+921160.578</f>
        <v>1472905.666</v>
      </c>
      <c r="I40" s="75">
        <f>147703+220153</f>
        <v>367856</v>
      </c>
      <c r="J40" s="75">
        <f>147702.607+211502.131</f>
        <v>359204.73800000001</v>
      </c>
      <c r="K40" s="75">
        <f>18390+306246</f>
        <v>324636</v>
      </c>
      <c r="L40" s="75">
        <f>16449.85259+296304.68706</f>
        <v>312754.53965000005</v>
      </c>
      <c r="M40" s="75">
        <f>13500+8500</f>
        <v>22000</v>
      </c>
      <c r="N40" s="75">
        <f>13493.93+5082.75</f>
        <v>18576.68</v>
      </c>
      <c r="O40" s="75"/>
      <c r="P40" s="76"/>
      <c r="Q40" s="94"/>
      <c r="R40" s="95"/>
      <c r="S40" s="95"/>
      <c r="T40" s="95"/>
      <c r="U40" s="95"/>
      <c r="V40" s="95"/>
      <c r="W40" s="95"/>
    </row>
    <row r="41" spans="3:23" s="96" customFormat="1" ht="41.25" customHeight="1" x14ac:dyDescent="0.25">
      <c r="C41" s="68">
        <f t="shared" si="3"/>
        <v>32</v>
      </c>
      <c r="D41" s="69" t="s">
        <v>1262</v>
      </c>
      <c r="E41" s="70">
        <f>+G41+K41+O41+I41</f>
        <v>4134924</v>
      </c>
      <c r="F41" s="71">
        <f>+H41+L41+P41+J41</f>
        <v>3073909.5740999999</v>
      </c>
      <c r="G41" s="77">
        <f>599816+1164304</f>
        <v>1764120</v>
      </c>
      <c r="H41" s="75">
        <f>599815.21676+1078324.85924</f>
        <v>1678140.0759999999</v>
      </c>
      <c r="I41" s="75">
        <f>143815+296585</f>
        <v>440400</v>
      </c>
      <c r="J41" s="75">
        <f>143814.56126+261980.04534</f>
        <v>405794.6066</v>
      </c>
      <c r="K41" s="75">
        <f>150694+1779710</f>
        <v>1930404</v>
      </c>
      <c r="L41" s="75">
        <f>144394.99523+845579.89627</f>
        <v>989974.89150000003</v>
      </c>
      <c r="M41" s="75">
        <f>25701+6054+4299+2496</f>
        <v>38550</v>
      </c>
      <c r="N41" s="75">
        <f>24755+3000.8+4298.9+2496</f>
        <v>34550.699999999997</v>
      </c>
      <c r="O41" s="75"/>
      <c r="P41" s="76"/>
      <c r="Q41" s="94"/>
      <c r="R41" s="95"/>
      <c r="S41" s="95"/>
      <c r="T41" s="95"/>
      <c r="U41" s="95"/>
      <c r="V41" s="95"/>
      <c r="W41" s="95"/>
    </row>
    <row r="42" spans="3:23" s="96" customFormat="1" ht="41.25" customHeight="1" x14ac:dyDescent="0.25">
      <c r="C42" s="68">
        <f t="shared" si="3"/>
        <v>33</v>
      </c>
      <c r="D42" s="69" t="s">
        <v>1290</v>
      </c>
      <c r="E42" s="70">
        <f t="shared" si="4"/>
        <v>371930</v>
      </c>
      <c r="F42" s="71">
        <f t="shared" si="4"/>
        <v>298711.41599999997</v>
      </c>
      <c r="G42" s="77">
        <f>91068+194473</f>
        <v>285541</v>
      </c>
      <c r="H42" s="75">
        <f>91044.182+146280.318</f>
        <v>237324.5</v>
      </c>
      <c r="I42" s="75">
        <f>22930+48459</f>
        <v>71389</v>
      </c>
      <c r="J42" s="75">
        <f>22929.334+38457.582</f>
        <v>61386.915999999997</v>
      </c>
      <c r="K42" s="75">
        <v>15000</v>
      </c>
      <c r="L42" s="75">
        <v>0</v>
      </c>
      <c r="M42" s="75"/>
      <c r="N42" s="75"/>
      <c r="O42" s="75"/>
      <c r="P42" s="76"/>
      <c r="Q42" s="94"/>
      <c r="R42" s="95"/>
      <c r="S42" s="95"/>
      <c r="T42" s="95"/>
      <c r="U42" s="95"/>
      <c r="V42" s="95"/>
      <c r="W42" s="95"/>
    </row>
    <row r="43" spans="3:23" s="96" customFormat="1" ht="41.25" customHeight="1" x14ac:dyDescent="0.25">
      <c r="C43" s="68">
        <f t="shared" si="3"/>
        <v>34</v>
      </c>
      <c r="D43" s="69" t="s">
        <v>1294</v>
      </c>
      <c r="E43" s="70">
        <f t="shared" si="4"/>
        <v>352464</v>
      </c>
      <c r="F43" s="71">
        <f t="shared" si="4"/>
        <v>317852.54100000003</v>
      </c>
      <c r="G43" s="77">
        <f>93633+188239</f>
        <v>281872</v>
      </c>
      <c r="H43" s="75">
        <f>93631.862+162274.901</f>
        <v>255906.76300000001</v>
      </c>
      <c r="I43" s="75">
        <f>21603+48989</f>
        <v>70592</v>
      </c>
      <c r="J43" s="75">
        <f>21602.81+40342.968</f>
        <v>61945.778000000006</v>
      </c>
      <c r="K43" s="75"/>
      <c r="L43" s="75"/>
      <c r="M43" s="75"/>
      <c r="N43" s="75"/>
      <c r="O43" s="75"/>
      <c r="P43" s="76"/>
      <c r="Q43" s="94"/>
      <c r="R43" s="95"/>
      <c r="S43" s="95"/>
      <c r="T43" s="95"/>
      <c r="U43" s="95"/>
      <c r="V43" s="95"/>
      <c r="W43" s="95"/>
    </row>
    <row r="44" spans="3:23" s="96" customFormat="1" ht="41.25" customHeight="1" x14ac:dyDescent="0.25">
      <c r="C44" s="68">
        <f t="shared" si="3"/>
        <v>35</v>
      </c>
      <c r="D44" s="80" t="s">
        <v>1265</v>
      </c>
      <c r="E44" s="70">
        <f t="shared" si="4"/>
        <v>176929</v>
      </c>
      <c r="F44" s="71">
        <f t="shared" si="4"/>
        <v>176095.989</v>
      </c>
      <c r="G44" s="77">
        <f>59900+81748</f>
        <v>141648</v>
      </c>
      <c r="H44" s="75">
        <f>59507.6+81497.143</f>
        <v>141004.74299999999</v>
      </c>
      <c r="I44" s="75">
        <f>14900+20381</f>
        <v>35281</v>
      </c>
      <c r="J44" s="75">
        <f>14791.96+20299.286</f>
        <v>35091.245999999999</v>
      </c>
      <c r="K44" s="75"/>
      <c r="L44" s="75"/>
      <c r="M44" s="75"/>
      <c r="N44" s="75"/>
      <c r="O44" s="75"/>
      <c r="P44" s="76"/>
      <c r="Q44" s="94"/>
      <c r="R44" s="95"/>
      <c r="S44" s="95"/>
      <c r="T44" s="95"/>
      <c r="U44" s="95"/>
      <c r="V44" s="95"/>
      <c r="W44" s="95"/>
    </row>
    <row r="45" spans="3:23" s="96" customFormat="1" ht="41.25" customHeight="1" x14ac:dyDescent="0.25">
      <c r="C45" s="68">
        <f t="shared" si="3"/>
        <v>36</v>
      </c>
      <c r="D45" s="69" t="s">
        <v>1295</v>
      </c>
      <c r="E45" s="70">
        <f t="shared" si="4"/>
        <v>248727</v>
      </c>
      <c r="F45" s="71">
        <f t="shared" si="4"/>
        <v>239422.70600000001</v>
      </c>
      <c r="G45" s="77">
        <f>79852+119580</f>
        <v>199432</v>
      </c>
      <c r="H45" s="75">
        <f>79833.501+111771.569</f>
        <v>191605.07</v>
      </c>
      <c r="I45" s="75">
        <f>20030+29265</f>
        <v>49295</v>
      </c>
      <c r="J45" s="75">
        <f>20029.966+27787.67</f>
        <v>47817.635999999999</v>
      </c>
      <c r="K45" s="75"/>
      <c r="L45" s="75"/>
      <c r="M45" s="75"/>
      <c r="N45" s="75"/>
      <c r="O45" s="75"/>
      <c r="P45" s="76"/>
      <c r="Q45" s="94"/>
      <c r="R45" s="95"/>
      <c r="S45" s="95"/>
      <c r="T45" s="95"/>
      <c r="U45" s="95"/>
      <c r="V45" s="95"/>
      <c r="W45" s="95"/>
    </row>
    <row r="46" spans="3:23" s="96" customFormat="1" ht="41.25" customHeight="1" x14ac:dyDescent="0.25">
      <c r="C46" s="68">
        <f t="shared" si="3"/>
        <v>37</v>
      </c>
      <c r="D46" s="69" t="s">
        <v>1335</v>
      </c>
      <c r="E46" s="70">
        <f t="shared" si="4"/>
        <v>3032614</v>
      </c>
      <c r="F46" s="71">
        <f t="shared" si="4"/>
        <v>2737600.15233</v>
      </c>
      <c r="G46" s="77">
        <f>524337+780129</f>
        <v>1304466</v>
      </c>
      <c r="H46" s="75">
        <f>524336.214+675417.175</f>
        <v>1199753.389</v>
      </c>
      <c r="I46" s="75">
        <f>126413+196864</f>
        <v>323277</v>
      </c>
      <c r="J46" s="75">
        <f>126412.573+167412.706</f>
        <v>293825.27899999998</v>
      </c>
      <c r="K46" s="75">
        <f>829262+575609</f>
        <v>1404871</v>
      </c>
      <c r="L46" s="75">
        <f>829214.31+414807.17433</f>
        <v>1244021.4843300001</v>
      </c>
      <c r="M46" s="75">
        <f>11101+9280+5997</f>
        <v>26378</v>
      </c>
      <c r="N46" s="75">
        <f>11020+6374+5950</f>
        <v>23344</v>
      </c>
      <c r="O46" s="75"/>
      <c r="P46" s="76"/>
      <c r="Q46" s="94"/>
      <c r="R46" s="95"/>
      <c r="S46" s="95"/>
      <c r="T46" s="95"/>
      <c r="U46" s="95"/>
      <c r="V46" s="95"/>
      <c r="W46" s="95"/>
    </row>
    <row r="47" spans="3:23" s="96" customFormat="1" ht="41.25" customHeight="1" x14ac:dyDescent="0.25">
      <c r="C47" s="68">
        <f>+C46+1</f>
        <v>38</v>
      </c>
      <c r="D47" s="69" t="s">
        <v>1343</v>
      </c>
      <c r="E47" s="70">
        <f t="shared" si="4"/>
        <v>49272591.658</v>
      </c>
      <c r="F47" s="71">
        <f t="shared" si="4"/>
        <v>40795575.842639998</v>
      </c>
      <c r="G47" s="77">
        <f>12033842+19519138</f>
        <v>31552980</v>
      </c>
      <c r="H47" s="75">
        <f>12033594.866+15618041.11964</f>
        <v>27651635.985640001</v>
      </c>
      <c r="I47" s="75">
        <f>423987+873587</f>
        <v>1297574</v>
      </c>
      <c r="J47" s="75">
        <f>423986.817+717345.969</f>
        <v>1141332.7860000001</v>
      </c>
      <c r="K47" s="75">
        <f>2040842.783+14381194.875</f>
        <v>16422037.658</v>
      </c>
      <c r="L47" s="75">
        <f>2039904.053+9962703.018</f>
        <v>12002607.070999999</v>
      </c>
      <c r="M47" s="75"/>
      <c r="N47" s="75"/>
      <c r="O47" s="75"/>
      <c r="P47" s="76"/>
      <c r="Q47" s="94"/>
      <c r="R47" s="95"/>
      <c r="S47" s="95"/>
      <c r="T47" s="95"/>
      <c r="U47" s="95"/>
      <c r="V47" s="95"/>
      <c r="W47" s="95"/>
    </row>
    <row r="48" spans="3:23" s="96" customFormat="1" ht="41.25" customHeight="1" x14ac:dyDescent="0.25">
      <c r="C48" s="68">
        <f t="shared" ref="C48:C53" si="7">+C47+1</f>
        <v>39</v>
      </c>
      <c r="D48" s="69" t="s">
        <v>1352</v>
      </c>
      <c r="E48" s="70">
        <f t="shared" si="4"/>
        <v>1363113</v>
      </c>
      <c r="F48" s="71">
        <f t="shared" si="4"/>
        <v>1158434.2030499999</v>
      </c>
      <c r="G48" s="77">
        <v>833060</v>
      </c>
      <c r="H48" s="75">
        <v>776882.29799999995</v>
      </c>
      <c r="I48" s="75">
        <v>208897</v>
      </c>
      <c r="J48" s="75">
        <v>189952.87099999998</v>
      </c>
      <c r="K48" s="75">
        <v>321156</v>
      </c>
      <c r="L48" s="75">
        <v>191599.03404999999</v>
      </c>
      <c r="M48" s="75"/>
      <c r="N48" s="75"/>
      <c r="O48" s="75"/>
      <c r="P48" s="76"/>
      <c r="Q48" s="94"/>
      <c r="R48" s="95"/>
      <c r="S48" s="95"/>
      <c r="T48" s="95"/>
      <c r="U48" s="95"/>
      <c r="V48" s="95"/>
      <c r="W48" s="95"/>
    </row>
    <row r="49" spans="3:23" s="96" customFormat="1" ht="41.25" customHeight="1" x14ac:dyDescent="0.25">
      <c r="C49" s="68">
        <f t="shared" si="7"/>
        <v>40</v>
      </c>
      <c r="D49" s="69" t="s">
        <v>1344</v>
      </c>
      <c r="E49" s="70">
        <f t="shared" si="4"/>
        <v>2817844</v>
      </c>
      <c r="F49" s="71">
        <f t="shared" si="4"/>
        <v>2689872.1840499998</v>
      </c>
      <c r="G49" s="77">
        <f>1098164+952656</f>
        <v>2050820</v>
      </c>
      <c r="H49" s="75">
        <f>1049446.586+952652.658</f>
        <v>2002099.2439999999</v>
      </c>
      <c r="I49" s="75">
        <f>288396+216648</f>
        <v>505044</v>
      </c>
      <c r="J49" s="75">
        <f>280561.377+216647.063</f>
        <v>497208.43999999994</v>
      </c>
      <c r="K49" s="75">
        <f>184445+77535</f>
        <v>261980</v>
      </c>
      <c r="L49" s="75">
        <f>120663.50813+69900.99192</f>
        <v>190564.50005</v>
      </c>
      <c r="M49" s="75"/>
      <c r="N49" s="75"/>
      <c r="O49" s="75"/>
      <c r="P49" s="76"/>
      <c r="Q49" s="94"/>
      <c r="R49" s="95"/>
      <c r="S49" s="95"/>
      <c r="T49" s="95"/>
      <c r="U49" s="95"/>
      <c r="V49" s="95"/>
      <c r="W49" s="95"/>
    </row>
    <row r="50" spans="3:23" s="96" customFormat="1" ht="52.5" customHeight="1" x14ac:dyDescent="0.25">
      <c r="C50" s="68">
        <f t="shared" si="7"/>
        <v>41</v>
      </c>
      <c r="D50" s="69" t="s">
        <v>1345</v>
      </c>
      <c r="E50" s="70">
        <f t="shared" si="4"/>
        <v>678672</v>
      </c>
      <c r="F50" s="71">
        <f t="shared" si="4"/>
        <v>579103.38939999999</v>
      </c>
      <c r="G50" s="77">
        <f>115756+401229</f>
        <v>516985</v>
      </c>
      <c r="H50" s="75">
        <f>115755.088+324138.387</f>
        <v>439893.47499999998</v>
      </c>
      <c r="I50" s="75">
        <f>30855+97332</f>
        <v>128187</v>
      </c>
      <c r="J50" s="75">
        <f>30854.671+75444.459</f>
        <v>106299.13</v>
      </c>
      <c r="K50" s="75">
        <f>7304+26196</f>
        <v>33500</v>
      </c>
      <c r="L50" s="75">
        <f>7303.5948+25607.1896</f>
        <v>32910.784400000004</v>
      </c>
      <c r="M50" s="75"/>
      <c r="N50" s="75"/>
      <c r="O50" s="75"/>
      <c r="P50" s="76"/>
      <c r="Q50" s="94"/>
      <c r="R50" s="95"/>
      <c r="S50" s="95"/>
      <c r="T50" s="95"/>
      <c r="U50" s="95"/>
      <c r="V50" s="95"/>
      <c r="W50" s="95"/>
    </row>
    <row r="51" spans="3:23" s="96" customFormat="1" ht="52.5" customHeight="1" x14ac:dyDescent="0.25">
      <c r="C51" s="68">
        <f t="shared" si="7"/>
        <v>42</v>
      </c>
      <c r="D51" s="69" t="s">
        <v>1346</v>
      </c>
      <c r="E51" s="70">
        <f t="shared" si="4"/>
        <v>1516028</v>
      </c>
      <c r="F51" s="71">
        <f t="shared" si="4"/>
        <v>1413314.68609</v>
      </c>
      <c r="G51" s="77">
        <v>825428</v>
      </c>
      <c r="H51" s="75">
        <v>813980.90099999995</v>
      </c>
      <c r="I51" s="75">
        <v>192753</v>
      </c>
      <c r="J51" s="75">
        <v>157324.51199999999</v>
      </c>
      <c r="K51" s="75">
        <v>497847</v>
      </c>
      <c r="L51" s="75">
        <v>442009.27308999997</v>
      </c>
      <c r="M51" s="75">
        <v>16800</v>
      </c>
      <c r="N51" s="75">
        <v>15654.720079999999</v>
      </c>
      <c r="O51" s="75"/>
      <c r="P51" s="76"/>
      <c r="Q51" s="94"/>
      <c r="R51" s="95"/>
      <c r="S51" s="95"/>
      <c r="T51" s="95"/>
      <c r="U51" s="95"/>
      <c r="V51" s="95"/>
      <c r="W51" s="95"/>
    </row>
    <row r="52" spans="3:23" s="96" customFormat="1" ht="52.5" customHeight="1" x14ac:dyDescent="0.25">
      <c r="C52" s="68">
        <f t="shared" si="7"/>
        <v>43</v>
      </c>
      <c r="D52" s="69" t="s">
        <v>1347</v>
      </c>
      <c r="E52" s="70">
        <f t="shared" si="4"/>
        <v>2618704</v>
      </c>
      <c r="F52" s="71">
        <f t="shared" si="4"/>
        <v>2497514.68609</v>
      </c>
      <c r="G52" s="77">
        <v>1661896</v>
      </c>
      <c r="H52" s="75">
        <v>1648602.9010000001</v>
      </c>
      <c r="I52" s="75">
        <v>412500</v>
      </c>
      <c r="J52" s="75">
        <v>376971.51199999999</v>
      </c>
      <c r="K52" s="75">
        <v>544308</v>
      </c>
      <c r="L52" s="75">
        <v>471940.27308999997</v>
      </c>
      <c r="M52" s="75"/>
      <c r="N52" s="75"/>
      <c r="O52" s="75"/>
      <c r="P52" s="76"/>
      <c r="Q52" s="94"/>
      <c r="R52" s="95"/>
      <c r="S52" s="95"/>
      <c r="T52" s="95"/>
      <c r="U52" s="95"/>
      <c r="V52" s="95"/>
      <c r="W52" s="95"/>
    </row>
    <row r="53" spans="3:23" s="96" customFormat="1" ht="52.5" customHeight="1" x14ac:dyDescent="0.25">
      <c r="C53" s="68">
        <f t="shared" si="7"/>
        <v>44</v>
      </c>
      <c r="D53" s="69" t="s">
        <v>1348</v>
      </c>
      <c r="E53" s="70">
        <f t="shared" si="4"/>
        <v>517839.55800000002</v>
      </c>
      <c r="F53" s="71">
        <f t="shared" si="4"/>
        <v>460872.96100000001</v>
      </c>
      <c r="G53" s="77">
        <f>150722.074+251771.23</f>
        <v>402493.304</v>
      </c>
      <c r="H53" s="75">
        <f>150722.074+210272.269</f>
        <v>360994.34299999999</v>
      </c>
      <c r="I53" s="75">
        <f>36329.96+63266.294</f>
        <v>99596.254000000001</v>
      </c>
      <c r="J53" s="75">
        <f>36329.96+47810.392</f>
        <v>84140.351999999999</v>
      </c>
      <c r="K53" s="75">
        <f>14988.65+761.35</f>
        <v>15750</v>
      </c>
      <c r="L53" s="75">
        <f>14988.65+749.616</f>
        <v>15738.266</v>
      </c>
      <c r="M53" s="75"/>
      <c r="N53" s="75"/>
      <c r="O53" s="75"/>
      <c r="P53" s="76"/>
      <c r="Q53" s="94"/>
      <c r="R53" s="95"/>
      <c r="S53" s="95"/>
      <c r="T53" s="95"/>
      <c r="U53" s="95"/>
      <c r="V53" s="95"/>
      <c r="W53" s="95"/>
    </row>
    <row r="54" spans="3:23" s="96" customFormat="1" ht="58.5" customHeight="1" x14ac:dyDescent="0.25">
      <c r="C54" s="68">
        <f>+C53+1</f>
        <v>45</v>
      </c>
      <c r="D54" s="69" t="s">
        <v>1349</v>
      </c>
      <c r="E54" s="70">
        <f>+G54+K54+O54+I54</f>
        <v>352350</v>
      </c>
      <c r="F54" s="71">
        <f>+H54+L54+P54+J54</f>
        <v>288571.01500000001</v>
      </c>
      <c r="G54" s="77">
        <v>230178</v>
      </c>
      <c r="H54" s="75">
        <v>229901.427</v>
      </c>
      <c r="I54" s="75">
        <v>58032</v>
      </c>
      <c r="J54" s="75">
        <v>57020.588000000003</v>
      </c>
      <c r="K54" s="75">
        <v>64140</v>
      </c>
      <c r="L54" s="75">
        <v>1649</v>
      </c>
      <c r="M54" s="75"/>
      <c r="N54" s="75"/>
      <c r="O54" s="75"/>
      <c r="P54" s="76"/>
      <c r="Q54" s="94"/>
      <c r="R54" s="95"/>
      <c r="S54" s="95"/>
      <c r="T54" s="95"/>
      <c r="U54" s="95"/>
      <c r="V54" s="95"/>
      <c r="W54" s="95"/>
    </row>
    <row r="55" spans="3:23" s="96" customFormat="1" ht="62.25" customHeight="1" x14ac:dyDescent="0.25">
      <c r="C55" s="68">
        <f>+C54+1</f>
        <v>46</v>
      </c>
      <c r="D55" s="69" t="s">
        <v>1353</v>
      </c>
      <c r="E55" s="70">
        <f t="shared" ref="E55:E57" si="8">+G55+K55+O55+I55</f>
        <v>178600000</v>
      </c>
      <c r="F55" s="71">
        <f t="shared" ref="F55:F57" si="9">+H55+L55+P55+J55</f>
        <v>140000000</v>
      </c>
      <c r="G55" s="77"/>
      <c r="H55" s="75"/>
      <c r="I55" s="75"/>
      <c r="J55" s="75"/>
      <c r="K55" s="75">
        <f>50000000+128600000</f>
        <v>178600000</v>
      </c>
      <c r="L55" s="75">
        <f>50000000+90000000</f>
        <v>140000000</v>
      </c>
      <c r="M55" s="75"/>
      <c r="N55" s="75"/>
      <c r="O55" s="75"/>
      <c r="P55" s="76"/>
      <c r="Q55" s="94"/>
      <c r="R55" s="95"/>
      <c r="S55" s="95"/>
      <c r="T55" s="95"/>
      <c r="U55" s="95"/>
      <c r="V55" s="95"/>
      <c r="W55" s="95"/>
    </row>
    <row r="56" spans="3:23" s="96" customFormat="1" ht="62.25" customHeight="1" x14ac:dyDescent="0.25">
      <c r="C56" s="68">
        <f t="shared" ref="C56:C58" si="10">+C55+1</f>
        <v>47</v>
      </c>
      <c r="D56" s="69" t="s">
        <v>1356</v>
      </c>
      <c r="E56" s="70">
        <f t="shared" si="8"/>
        <v>31032042</v>
      </c>
      <c r="F56" s="71">
        <f t="shared" si="9"/>
        <v>13475722.976539999</v>
      </c>
      <c r="G56" s="77"/>
      <c r="H56" s="75"/>
      <c r="I56" s="75"/>
      <c r="J56" s="75"/>
      <c r="K56" s="75">
        <v>31032042</v>
      </c>
      <c r="L56" s="75">
        <v>13475722.976539999</v>
      </c>
      <c r="M56" s="75"/>
      <c r="N56" s="75"/>
      <c r="O56" s="75"/>
      <c r="P56" s="76"/>
      <c r="Q56" s="94"/>
      <c r="R56" s="95"/>
      <c r="S56" s="95"/>
      <c r="T56" s="95"/>
      <c r="U56" s="95"/>
      <c r="V56" s="95"/>
      <c r="W56" s="95"/>
    </row>
    <row r="57" spans="3:23" s="96" customFormat="1" ht="62.25" customHeight="1" x14ac:dyDescent="0.25">
      <c r="C57" s="68">
        <f t="shared" si="10"/>
        <v>48</v>
      </c>
      <c r="D57" s="69" t="s">
        <v>1354</v>
      </c>
      <c r="E57" s="70">
        <f t="shared" si="8"/>
        <v>824847321</v>
      </c>
      <c r="F57" s="71">
        <f t="shared" si="9"/>
        <v>503461173</v>
      </c>
      <c r="G57" s="77"/>
      <c r="H57" s="75"/>
      <c r="I57" s="75"/>
      <c r="J57" s="75"/>
      <c r="K57" s="75">
        <v>824847321</v>
      </c>
      <c r="L57" s="75">
        <v>503461173</v>
      </c>
      <c r="M57" s="75"/>
      <c r="N57" s="75"/>
      <c r="O57" s="75"/>
      <c r="P57" s="76"/>
      <c r="Q57" s="94"/>
      <c r="R57" s="95"/>
      <c r="S57" s="95"/>
      <c r="T57" s="95"/>
      <c r="U57" s="95"/>
      <c r="V57" s="95"/>
      <c r="W57" s="95"/>
    </row>
    <row r="58" spans="3:23" s="96" customFormat="1" ht="115.5" customHeight="1" x14ac:dyDescent="0.25">
      <c r="C58" s="81">
        <f t="shared" si="10"/>
        <v>49</v>
      </c>
      <c r="D58" s="82" t="s">
        <v>1355</v>
      </c>
      <c r="E58" s="83">
        <f t="shared" si="4"/>
        <v>563427526</v>
      </c>
      <c r="F58" s="84">
        <f t="shared" si="4"/>
        <v>376117312</v>
      </c>
      <c r="G58" s="85"/>
      <c r="H58" s="86"/>
      <c r="I58" s="86"/>
      <c r="J58" s="86"/>
      <c r="K58" s="86">
        <v>563427526</v>
      </c>
      <c r="L58" s="86">
        <v>376117312</v>
      </c>
      <c r="M58" s="86"/>
      <c r="N58" s="86"/>
      <c r="O58" s="86"/>
      <c r="P58" s="87"/>
      <c r="Q58" s="94"/>
      <c r="R58" s="95"/>
      <c r="S58" s="95"/>
      <c r="T58" s="95"/>
      <c r="U58" s="95"/>
      <c r="V58" s="95"/>
      <c r="W58" s="95"/>
    </row>
    <row r="60" spans="3:23" x14ac:dyDescent="0.25">
      <c r="E60" s="97"/>
      <c r="F60" s="97"/>
    </row>
  </sheetData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.19685039370078741" right="0.19685039370078741" top="0.59055118110236227" bottom="0" header="0" footer="0"/>
  <pageSetup paperSize="9" scale="30" fitToHeight="2" orientation="landscape" r:id="rId1"/>
  <rowBreaks count="1" manualBreakCount="1">
    <brk id="5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39" t="s">
        <v>164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spans="1:30" x14ac:dyDescent="0.25">
      <c r="A2" s="140" t="s">
        <v>165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 t="s">
        <v>166</v>
      </c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4" spans="1:30" x14ac:dyDescent="0.25">
      <c r="A4" s="142" t="s">
        <v>167</v>
      </c>
      <c r="B4" s="142" t="s">
        <v>168</v>
      </c>
      <c r="C4" s="1"/>
      <c r="D4" s="1"/>
      <c r="E4" s="1"/>
      <c r="F4" s="142" t="s">
        <v>169</v>
      </c>
      <c r="G4" s="142" t="s">
        <v>170</v>
      </c>
      <c r="H4" s="142" t="s">
        <v>171</v>
      </c>
      <c r="I4" s="142" t="s">
        <v>172</v>
      </c>
      <c r="J4" s="142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45" t="s">
        <v>178</v>
      </c>
      <c r="P4" s="146"/>
      <c r="Q4" s="147"/>
      <c r="R4" s="142" t="s">
        <v>179</v>
      </c>
      <c r="S4" s="145" t="s">
        <v>180</v>
      </c>
      <c r="T4" s="146"/>
      <c r="U4" s="147"/>
      <c r="V4" s="142" t="s">
        <v>181</v>
      </c>
      <c r="W4" s="142" t="s">
        <v>182</v>
      </c>
      <c r="X4" s="145" t="s">
        <v>183</v>
      </c>
      <c r="Y4" s="147"/>
      <c r="Z4" s="142" t="s">
        <v>184</v>
      </c>
      <c r="AA4" s="142" t="s">
        <v>185</v>
      </c>
      <c r="AB4" s="142" t="s">
        <v>186</v>
      </c>
      <c r="AC4" s="142" t="s">
        <v>187</v>
      </c>
      <c r="AD4" s="142" t="s">
        <v>188</v>
      </c>
    </row>
    <row r="5" spans="1:30" x14ac:dyDescent="0.25">
      <c r="A5" s="143"/>
      <c r="B5" s="143"/>
      <c r="C5" s="3"/>
      <c r="D5" s="3"/>
      <c r="E5" s="3"/>
      <c r="F5" s="143"/>
      <c r="G5" s="143"/>
      <c r="H5" s="143"/>
      <c r="I5" s="143"/>
      <c r="J5" s="143"/>
      <c r="K5" s="3" t="s">
        <v>189</v>
      </c>
      <c r="L5" s="4" t="s">
        <v>189</v>
      </c>
      <c r="M5" s="3" t="s">
        <v>189</v>
      </c>
      <c r="N5" s="3" t="s">
        <v>189</v>
      </c>
      <c r="O5" s="142">
        <f>+SUBTOTAL(9,O10:O152)/1000</f>
        <v>139140.95300000001</v>
      </c>
      <c r="P5" s="142" t="s">
        <v>190</v>
      </c>
      <c r="Q5" s="142" t="s">
        <v>191</v>
      </c>
      <c r="R5" s="143"/>
      <c r="S5" s="142" t="s">
        <v>192</v>
      </c>
      <c r="T5" s="1" t="s">
        <v>193</v>
      </c>
      <c r="U5" s="142" t="s">
        <v>194</v>
      </c>
      <c r="V5" s="143"/>
      <c r="W5" s="143"/>
      <c r="X5" s="142" t="s">
        <v>195</v>
      </c>
      <c r="Y5" s="142" t="s">
        <v>196</v>
      </c>
      <c r="Z5" s="143"/>
      <c r="AA5" s="143"/>
      <c r="AB5" s="143"/>
      <c r="AC5" s="143"/>
      <c r="AD5" s="143"/>
    </row>
    <row r="6" spans="1:30" x14ac:dyDescent="0.25">
      <c r="A6" s="143"/>
      <c r="B6" s="143"/>
      <c r="C6" s="3"/>
      <c r="D6" s="3"/>
      <c r="E6" s="3"/>
      <c r="F6" s="143"/>
      <c r="G6" s="143"/>
      <c r="H6" s="143"/>
      <c r="I6" s="143"/>
      <c r="J6" s="143"/>
      <c r="K6" s="3"/>
      <c r="L6" s="4"/>
      <c r="M6" s="3"/>
      <c r="N6" s="3"/>
      <c r="O6" s="143"/>
      <c r="P6" s="143"/>
      <c r="Q6" s="143"/>
      <c r="R6" s="143"/>
      <c r="S6" s="143"/>
      <c r="T6" s="3" t="s">
        <v>197</v>
      </c>
      <c r="U6" s="143"/>
      <c r="V6" s="143"/>
      <c r="W6" s="143"/>
      <c r="X6" s="143"/>
      <c r="Y6" s="143"/>
      <c r="Z6" s="143"/>
      <c r="AA6" s="143"/>
      <c r="AB6" s="143"/>
      <c r="AC6" s="143"/>
      <c r="AD6" s="143"/>
    </row>
    <row r="7" spans="1:30" x14ac:dyDescent="0.25">
      <c r="A7" s="143"/>
      <c r="B7" s="143"/>
      <c r="C7" s="3"/>
      <c r="D7" s="3"/>
      <c r="E7" s="3"/>
      <c r="F7" s="143"/>
      <c r="G7" s="143"/>
      <c r="H7" s="143"/>
      <c r="I7" s="143"/>
      <c r="J7" s="143"/>
      <c r="K7" s="3"/>
      <c r="L7" s="4"/>
      <c r="M7" s="3"/>
      <c r="N7" s="3"/>
      <c r="O7" s="143"/>
      <c r="P7" s="143"/>
      <c r="Q7" s="143"/>
      <c r="R7" s="143"/>
      <c r="S7" s="143"/>
      <c r="T7" s="3" t="s">
        <v>198</v>
      </c>
      <c r="U7" s="143"/>
      <c r="V7" s="143"/>
      <c r="W7" s="143"/>
      <c r="X7" s="143"/>
      <c r="Y7" s="143"/>
      <c r="Z7" s="143"/>
      <c r="AA7" s="143"/>
      <c r="AB7" s="143"/>
      <c r="AC7" s="143"/>
      <c r="AD7" s="143"/>
    </row>
    <row r="8" spans="1:30" x14ac:dyDescent="0.25">
      <c r="A8" s="144"/>
      <c r="B8" s="144"/>
      <c r="C8" s="5"/>
      <c r="D8" s="5"/>
      <c r="E8" s="5"/>
      <c r="F8" s="144"/>
      <c r="G8" s="144"/>
      <c r="H8" s="144"/>
      <c r="I8" s="144"/>
      <c r="J8" s="144"/>
      <c r="K8" s="5"/>
      <c r="L8" s="6"/>
      <c r="M8" s="5"/>
      <c r="N8" s="5"/>
      <c r="O8" s="144"/>
      <c r="P8" s="144"/>
      <c r="Q8" s="144"/>
      <c r="R8" s="144"/>
      <c r="S8" s="144"/>
      <c r="T8" s="5" t="s">
        <v>199</v>
      </c>
      <c r="U8" s="144"/>
      <c r="V8" s="144"/>
      <c r="W8" s="144"/>
      <c r="X8" s="144"/>
      <c r="Y8" s="144"/>
      <c r="Z8" s="144"/>
      <c r="AA8" s="144"/>
      <c r="AB8" s="144"/>
      <c r="AC8" s="144"/>
      <c r="AD8" s="144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 йил 2-чорак</vt:lpstr>
      <vt:lpstr>Шартномалар</vt:lpstr>
      <vt:lpstr>'2023 йил 2-чорак'!Заголовки_для_печати</vt:lpstr>
      <vt:lpstr>'Йиллик параметр'!Заголовки_для_печати</vt:lpstr>
      <vt:lpstr>'2023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2023-10-12T10:43:39Z</dcterms:modified>
</cp:coreProperties>
</file>