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-сайт\2023-yil 9-oylik\AOKA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2-чорак" sheetId="19" r:id="rId2"/>
    <sheet name="Шартномалар" sheetId="12" state="hidden" r:id="rId3"/>
  </sheets>
  <definedNames>
    <definedName name="_xlnm._FilterDatabase" localSheetId="1" hidden="1">'2023 йил 2-чорак'!$C$9:$AF$58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2-чорак'!$6:$9</definedName>
    <definedName name="_xlnm.Print_Titles" localSheetId="0">'Йиллик параметр'!$5:$7</definedName>
    <definedName name="_xlnm.Print_Area" localSheetId="1">'2023 йил 2-чорак'!$B$2:$J$61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9" l="1"/>
  <c r="H53" i="19"/>
  <c r="H50" i="19"/>
  <c r="H49" i="19"/>
  <c r="H47" i="19"/>
  <c r="H46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G53" i="19"/>
  <c r="G50" i="19"/>
  <c r="G49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F53" i="19"/>
  <c r="F50" i="19"/>
  <c r="F49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E53" i="19" l="1"/>
  <c r="E54" i="19"/>
  <c r="E55" i="19"/>
  <c r="E56" i="19"/>
  <c r="E57" i="19"/>
  <c r="H59" i="19"/>
  <c r="F59" i="19"/>
  <c r="G59" i="19"/>
  <c r="C12" i="19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I58" i="19" l="1"/>
  <c r="E58" i="19" s="1"/>
  <c r="E11" i="19" l="1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1" i="19"/>
  <c r="E42" i="19"/>
  <c r="E43" i="19"/>
  <c r="E44" i="19"/>
  <c r="E45" i="19"/>
  <c r="E46" i="19"/>
  <c r="E47" i="19"/>
  <c r="E49" i="19"/>
  <c r="E50" i="19"/>
  <c r="E51" i="19"/>
  <c r="E52" i="19"/>
  <c r="E48" i="19"/>
  <c r="E40" i="19" l="1"/>
  <c r="K48" i="19" l="1"/>
  <c r="E10" i="19" l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59" i="19" l="1"/>
  <c r="E47" i="15"/>
</calcChain>
</file>

<file path=xl/sharedStrings.xml><?xml version="1.0" encoding="utf-8"?>
<sst xmlns="http://schemas.openxmlformats.org/spreadsheetml/2006/main" count="3968" uniqueCount="1358">
  <si>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</si>
  <si>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</si>
  <si>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</si>
  <si>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</si>
  <si>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</si>
  <si>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</si>
  <si>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</si>
  <si>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</si>
  <si>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</si>
  <si>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</si>
  <si>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</si>
  <si>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</si>
  <si>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</si>
  <si>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</si>
  <si>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</si>
  <si>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</si>
  <si>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</si>
  <si>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</si>
  <si>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</si>
  <si>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</si>
  <si>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</si>
  <si>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</si>
  <si>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</si>
  <si>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</si>
  <si>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</si>
  <si>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</si>
  <si>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</si>
  <si>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</si>
  <si>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</si>
  <si>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</si>
  <si>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</si>
  <si>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</si>
  <si>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</si>
  <si>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</si>
  <si>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</si>
  <si>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</si>
  <si>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</si>
  <si>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</si>
  <si>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</si>
  <si>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</si>
  <si>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</si>
  <si>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</si>
  <si>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</si>
  <si>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</si>
  <si>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</si>
  <si>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</si>
  <si>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</si>
  <si>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</si>
  <si>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</si>
  <si>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</si>
  <si>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</si>
  <si>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</si>
  <si>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</si>
  <si>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</si>
  <si>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</si>
  <si>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</si>
  <si>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</si>
  <si>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</si>
  <si>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</si>
  <si>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</si>
  <si>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</si>
  <si>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</si>
  <si>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</si>
  <si>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</si>
  <si>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</si>
  <si>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</si>
  <si>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</si>
  <si>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</si>
  <si>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</si>
  <si>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</si>
  <si>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</si>
  <si>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</si>
  <si>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</si>
  <si>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</si>
  <si>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</si>
  <si>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</si>
  <si>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</si>
  <si>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</si>
  <si>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</si>
  <si>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</si>
  <si>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</si>
  <si>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</si>
  <si>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</si>
  <si>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</si>
  <si>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</si>
  <si>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</si>
  <si>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</si>
  <si>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</si>
  <si>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</si>
  <si>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</si>
  <si>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</si>
  <si>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</si>
  <si>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</si>
  <si>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</si>
  <si>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</si>
  <si>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</si>
  <si>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</si>
  <si>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</si>
  <si>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</si>
  <si>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</si>
  <si>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</si>
  <si>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</si>
  <si>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</si>
  <si>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</si>
  <si>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</si>
  <si>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</si>
  <si>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</si>
  <si>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</si>
  <si>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</si>
  <si>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</si>
  <si>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</si>
  <si>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</si>
  <si>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</si>
  <si>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</si>
  <si>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</si>
  <si>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</si>
  <si>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</si>
  <si>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</si>
  <si>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</si>
  <si>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</si>
  <si>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</si>
  <si>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</si>
  <si>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</si>
  <si>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</si>
  <si>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</si>
  <si>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</si>
  <si>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</si>
  <si>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</si>
  <si>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</si>
  <si>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</si>
  <si>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</si>
  <si>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</si>
  <si>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</si>
  <si>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</si>
  <si>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</si>
  <si>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</si>
  <si>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</si>
  <si>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</si>
  <si>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</si>
  <si>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</si>
  <si>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</si>
  <si>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</si>
  <si>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</si>
  <si>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</si>
  <si>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</si>
  <si>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</si>
  <si>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</si>
  <si>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</si>
  <si>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</si>
  <si>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</si>
  <si>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</si>
  <si>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</si>
  <si>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</si>
  <si>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</si>
  <si>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</si>
  <si>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</si>
  <si>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</si>
  <si>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</si>
  <si>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</si>
  <si>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</si>
  <si>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</si>
  <si>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</si>
  <si>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</si>
  <si>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</si>
  <si>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</si>
  <si>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</si>
  <si>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</si>
  <si>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</si>
  <si>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</si>
  <si>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</si>
  <si>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</si>
  <si>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</si>
  <si>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</si>
  <si>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</si>
  <si>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</si>
  <si>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</si>
  <si>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</si>
  <si>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</si>
  <si>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</si>
  <si>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</si>
  <si>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</si>
  <si>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</si>
  <si>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</si>
  <si>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</si>
  <si>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</si>
  <si>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</si>
  <si>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</si>
  <si>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</si>
  <si>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</si>
  <si>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</si>
  <si>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</si>
  <si>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</si>
  <si>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</si>
  <si>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</si>
  <si>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</si>
  <si>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</si>
  <si>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</si>
  <si>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</si>
  <si>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</si>
  <si>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</si>
  <si>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</si>
  <si>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</si>
  <si>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</si>
  <si>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</si>
  <si>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</si>
  <si>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</si>
  <si>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</si>
  <si>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</si>
  <si>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</si>
  <si>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</si>
  <si>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</si>
  <si>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</si>
  <si>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</si>
  <si>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</si>
  <si>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</si>
  <si>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</si>
  <si>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</si>
  <si>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</si>
  <si>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</si>
  <si>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</si>
  <si>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</si>
  <si>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</si>
  <si>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</si>
  <si>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</si>
  <si>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</si>
  <si>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</si>
  <si>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</si>
  <si>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</si>
  <si>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</si>
  <si>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</si>
  <si>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</si>
  <si>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</si>
  <si>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</si>
  <si>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</si>
  <si>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</si>
  <si>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</si>
  <si>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</si>
  <si>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</si>
  <si>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</si>
  <si>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</si>
  <si>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</si>
  <si>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</si>
  <si>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</si>
  <si>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</si>
  <si>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</si>
  <si>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</si>
  <si>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</si>
  <si>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</si>
  <si>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</si>
  <si>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</si>
  <si>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</si>
  <si>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</si>
  <si>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</si>
  <si>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</si>
  <si>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</si>
  <si>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</si>
  <si>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</si>
  <si>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</si>
  <si>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</si>
  <si>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</si>
  <si>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</si>
  <si>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</si>
  <si>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</si>
  <si>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</si>
  <si>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</si>
  <si>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</si>
  <si>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</si>
  <si>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</si>
  <si>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</si>
  <si>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</si>
  <si>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</si>
  <si>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</si>
  <si>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</si>
  <si>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</si>
  <si>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</si>
  <si>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</si>
  <si>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</si>
  <si>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</si>
  <si>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</si>
  <si>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</si>
  <si>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</si>
  <si>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</si>
  <si>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</si>
  <si>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</si>
  <si>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</si>
  <si>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</si>
  <si>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</si>
  <si>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</si>
  <si>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</si>
  <si>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</si>
  <si>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</si>
  <si>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</si>
  <si>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</si>
  <si>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</si>
  <si>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</si>
  <si>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</si>
  <si>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</si>
  <si>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</si>
  <si>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</si>
  <si>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</si>
  <si>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</si>
  <si>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</si>
  <si>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</si>
  <si>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</si>
  <si>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</si>
  <si>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</si>
  <si>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</si>
  <si>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</si>
  <si>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</si>
  <si>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</si>
  <si>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</si>
  <si>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</si>
  <si>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</si>
  <si>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</si>
  <si>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</si>
  <si>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</si>
  <si>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</si>
  <si>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</si>
  <si>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</si>
  <si>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</si>
  <si>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</si>
  <si>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</si>
  <si>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</si>
  <si>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</si>
  <si>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</si>
  <si>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</si>
  <si>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</si>
  <si>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</si>
  <si>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</si>
  <si>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</si>
  <si>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</si>
  <si>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</si>
  <si>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</si>
  <si>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</si>
  <si>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</si>
  <si>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</si>
  <si>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</si>
  <si>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</si>
  <si>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</si>
  <si>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</si>
  <si>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</si>
  <si>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</si>
  <si>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</si>
  <si>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</si>
  <si>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</si>
  <si>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</si>
  <si>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</si>
  <si>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</si>
  <si>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</si>
  <si>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</si>
  <si>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</si>
  <si>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</si>
  <si>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</si>
  <si>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</si>
  <si>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</si>
  <si>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</si>
  <si>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</si>
  <si>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</si>
  <si>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</si>
  <si>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</si>
  <si>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</si>
  <si>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</si>
  <si>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</si>
  <si>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</si>
  <si>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</si>
  <si>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</si>
  <si>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</si>
  <si>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</si>
  <si>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</si>
  <si>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</si>
  <si>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</si>
  <si>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</si>
  <si>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</si>
  <si>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</si>
  <si>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</si>
  <si>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</si>
  <si>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</si>
  <si>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</si>
  <si>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</si>
  <si>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</si>
  <si>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</si>
  <si>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</si>
  <si>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</si>
  <si>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</si>
  <si>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</si>
  <si>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</si>
  <si>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</si>
  <si>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</si>
  <si>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</si>
  <si>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</si>
  <si>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</si>
  <si>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</si>
  <si>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</si>
  <si>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</si>
  <si>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</si>
  <si>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</si>
  <si>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</si>
  <si>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</si>
  <si>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</si>
  <si>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</si>
  <si>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</si>
  <si>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</si>
  <si>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</si>
  <si>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</si>
  <si>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</si>
  <si>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</si>
  <si>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</si>
  <si>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</si>
  <si>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</si>
  <si>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</si>
  <si>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</si>
  <si>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</si>
  <si>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</si>
  <si>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</si>
  <si>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</si>
  <si>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</si>
  <si>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</si>
  <si>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</si>
  <si>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</si>
  <si>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</si>
  <si>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</si>
  <si>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</si>
  <si>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</si>
  <si>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</si>
  <si>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</si>
  <si>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</si>
  <si>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</si>
  <si>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</si>
  <si>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</si>
  <si>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</si>
  <si>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</si>
  <si>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</si>
  <si>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</si>
  <si>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</si>
  <si>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</si>
  <si>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</si>
  <si>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</si>
  <si>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</si>
  <si>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</si>
  <si>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</si>
  <si>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</si>
  <si>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</si>
  <si>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</si>
  <si>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</si>
  <si>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</si>
  <si>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</si>
  <si>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</si>
  <si>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</si>
  <si>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</si>
  <si>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</si>
  <si>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</si>
  <si>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</si>
  <si>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</si>
  <si>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</si>
  <si>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</si>
  <si>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</si>
  <si>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</si>
  <si>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</si>
  <si>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</si>
  <si>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</si>
  <si>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</si>
  <si>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</si>
  <si>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</si>
  <si>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</si>
  <si>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</si>
  <si>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</si>
  <si>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</si>
  <si>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</si>
  <si>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</si>
  <si>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</si>
  <si>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</si>
  <si>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</si>
  <si>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</si>
  <si>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</si>
  <si>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</si>
  <si>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</si>
  <si>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</si>
  <si>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</si>
  <si>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</si>
  <si>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</si>
  <si>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</si>
  <si>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</si>
  <si>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</si>
  <si>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</si>
  <si>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</si>
  <si>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</si>
  <si>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</si>
  <si>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</si>
  <si>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</si>
  <si>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</si>
  <si>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</si>
  <si>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</si>
  <si>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</si>
  <si>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</si>
  <si>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</si>
  <si>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</si>
  <si>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</si>
  <si>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</si>
  <si>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</si>
  <si>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</si>
  <si>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</si>
  <si>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</si>
  <si>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</si>
  <si>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</si>
  <si>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</si>
  <si>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</si>
  <si>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</si>
  <si>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</si>
  <si>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</si>
  <si>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</si>
  <si>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</si>
  <si>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</si>
  <si>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</si>
  <si>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</si>
  <si>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</si>
  <si>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</si>
  <si>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</si>
  <si>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</si>
  <si>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</si>
  <si>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</si>
  <si>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</si>
  <si>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</si>
  <si>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</si>
  <si>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</si>
  <si>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</si>
  <si>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</si>
  <si>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</si>
  <si>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</si>
  <si>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</si>
  <si>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</si>
  <si>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</si>
  <si>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</si>
  <si>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</si>
  <si>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</si>
  <si>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</si>
  <si>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</si>
  <si>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</si>
  <si>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</si>
  <si>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</si>
  <si>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</si>
  <si>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</si>
  <si>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</si>
  <si>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</si>
  <si>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</si>
  <si>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</si>
  <si>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</si>
  <si>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</si>
  <si>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</si>
  <si>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</si>
  <si>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</si>
  <si>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</si>
  <si>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</si>
  <si>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</si>
  <si>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</si>
  <si>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</si>
  <si>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</si>
  <si>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</si>
  <si>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</si>
  <si>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</si>
  <si>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</si>
  <si>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</si>
  <si>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</si>
  <si>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</si>
  <si>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</si>
  <si>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</si>
  <si>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</si>
  <si>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</si>
  <si>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</si>
  <si>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</si>
  <si>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</si>
  <si>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</si>
  <si>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</si>
  <si>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</si>
  <si>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</si>
  <si>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</si>
  <si>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</si>
  <si>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</si>
  <si>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</si>
  <si>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</si>
  <si>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</si>
  <si>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</si>
  <si>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</si>
  <si>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</si>
  <si>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</si>
  <si>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</si>
  <si>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</si>
  <si>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</si>
  <si>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</si>
  <si>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</si>
  <si>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</si>
  <si>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</si>
  <si>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</si>
  <si>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</si>
  <si>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</si>
  <si>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</si>
  <si>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</si>
  <si>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</si>
  <si>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</si>
  <si>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</si>
  <si>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</si>
  <si>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</si>
  <si>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</si>
  <si>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</si>
  <si>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</si>
  <si>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</si>
  <si>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</si>
  <si>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</si>
  <si>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</si>
  <si>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</si>
  <si>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</si>
  <si>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</si>
  <si>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</si>
  <si>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</si>
  <si>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</si>
  <si>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</si>
  <si>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</si>
  <si>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</si>
  <si>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</si>
  <si>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</si>
  <si>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</si>
  <si>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</si>
  <si>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</si>
  <si>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</si>
  <si>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</si>
  <si>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</si>
  <si>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</si>
  <si>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</si>
  <si>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</si>
  <si>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</si>
  <si>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</si>
  <si>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</si>
  <si>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</si>
  <si>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</si>
  <si>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</si>
  <si>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</si>
  <si>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</si>
  <si>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</si>
  <si>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</si>
  <si>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</si>
  <si>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</si>
  <si>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</si>
  <si>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</si>
  <si>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</si>
  <si>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</si>
  <si>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</si>
  <si>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</si>
  <si>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</si>
  <si>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</si>
  <si>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</si>
  <si>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</si>
  <si>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</si>
  <si>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</si>
  <si>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</si>
  <si>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</si>
  <si>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</si>
  <si>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</si>
  <si>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</si>
  <si>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</si>
  <si>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</si>
  <si>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</si>
  <si>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</si>
  <si>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</si>
  <si>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</si>
  <si>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</si>
  <si>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</si>
  <si>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</si>
  <si>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</si>
  <si>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</si>
  <si>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</si>
  <si>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</si>
  <si>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</si>
  <si>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</si>
  <si>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</si>
  <si>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</si>
  <si>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</si>
  <si>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</si>
  <si>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</si>
  <si>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</si>
  <si>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</si>
  <si>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</si>
  <si>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</si>
  <si>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</si>
  <si>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</si>
  <si>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</si>
  <si>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</si>
  <si>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</si>
  <si>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</si>
  <si>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</si>
  <si>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</si>
  <si>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</si>
  <si>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</si>
  <si>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</si>
  <si>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</si>
  <si>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</si>
  <si>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</si>
  <si>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</si>
  <si>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</si>
  <si>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</si>
  <si>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</si>
  <si>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</si>
  <si>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</si>
  <si>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</si>
  <si>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</si>
  <si>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</si>
  <si>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</si>
  <si>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</si>
  <si>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</si>
  <si>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</si>
  <si>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</si>
  <si>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</si>
  <si>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</si>
  <si>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</si>
  <si>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</si>
  <si>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</si>
  <si>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</si>
  <si>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</si>
  <si>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</si>
  <si>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</si>
  <si>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</si>
  <si>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</si>
  <si>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</si>
  <si>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</si>
  <si>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</si>
  <si>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</si>
  <si>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</si>
  <si>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</si>
  <si>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</si>
  <si>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</si>
  <si>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</si>
  <si>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</si>
  <si>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</si>
  <si>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</si>
  <si>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</si>
  <si>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</si>
  <si>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</si>
  <si>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</si>
  <si>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</si>
  <si>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</si>
  <si>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</si>
  <si>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</si>
  <si>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</si>
  <si>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</si>
  <si>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</si>
  <si>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</si>
  <si>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</si>
  <si>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</si>
  <si>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</si>
  <si>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</si>
  <si>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</si>
  <si>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</si>
  <si>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</si>
  <si>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</si>
  <si>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</si>
  <si>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</si>
  <si>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</si>
  <si>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</si>
  <si>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</si>
  <si>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</si>
  <si>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</si>
  <si>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</si>
  <si>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</si>
  <si>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</si>
  <si>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</si>
  <si>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</si>
  <si>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</si>
  <si>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</si>
  <si>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</si>
  <si>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</si>
  <si>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</si>
  <si>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</si>
  <si>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</si>
  <si>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</si>
  <si>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</si>
  <si>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</si>
  <si>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</si>
  <si>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</si>
  <si>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</si>
  <si>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</si>
  <si>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</si>
  <si>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</si>
  <si>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</si>
  <si>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</si>
  <si>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</si>
  <si>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</si>
  <si>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</si>
  <si>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</si>
  <si>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</si>
  <si>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</si>
  <si>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</si>
  <si>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</si>
  <si>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</si>
  <si>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</si>
  <si>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</si>
  <si>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</si>
  <si>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</si>
  <si>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</si>
  <si>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</si>
  <si>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</si>
  <si>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</si>
  <si>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</si>
  <si>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</si>
  <si>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</si>
  <si>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</si>
  <si>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</si>
  <si>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</si>
  <si>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</si>
  <si>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</si>
  <si>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</si>
  <si>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</si>
  <si>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</si>
  <si>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</si>
  <si>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</si>
  <si>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</si>
  <si>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</si>
  <si>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</si>
  <si>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</si>
  <si>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</si>
  <si>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</si>
  <si>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</si>
  <si>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</si>
  <si>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</si>
  <si>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</si>
  <si>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</si>
  <si>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</si>
  <si>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</si>
  <si>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</si>
  <si>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</si>
  <si>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</si>
  <si>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</si>
  <si>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</si>
  <si>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</si>
  <si>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</si>
  <si>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</si>
  <si>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</si>
  <si>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</si>
  <si>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</si>
  <si>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</si>
  <si>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</si>
  <si>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</si>
  <si>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</si>
  <si>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</si>
  <si>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</si>
  <si>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</si>
  <si>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</si>
  <si>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</si>
  <si>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</si>
  <si>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</si>
  <si>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</si>
  <si>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</si>
  <si>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</si>
  <si>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</si>
  <si>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</si>
  <si>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</si>
  <si>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</si>
  <si>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</si>
  <si>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</si>
  <si>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</si>
  <si>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</si>
  <si>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</si>
  <si>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</si>
  <si>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</si>
  <si>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</si>
  <si>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</si>
  <si>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</si>
  <si>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</si>
  <si>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</si>
  <si>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</si>
  <si>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</si>
  <si>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</si>
  <si>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</si>
  <si>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</si>
  <si>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</si>
  <si>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</si>
  <si>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</si>
  <si>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</si>
  <si>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</si>
  <si>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</si>
  <si>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</si>
  <si>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</si>
  <si>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</si>
  <si>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</si>
  <si>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</si>
  <si>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</si>
  <si>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</si>
  <si>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</si>
  <si>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</si>
  <si>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</si>
  <si>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</si>
  <si>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</si>
  <si>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</si>
  <si>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</si>
  <si>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</si>
  <si>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</si>
  <si>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</si>
  <si>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</si>
  <si>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</si>
  <si>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</si>
  <si>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</si>
  <si>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</si>
  <si>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</si>
  <si>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</si>
  <si>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</si>
  <si>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</si>
  <si>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</si>
  <si>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</si>
  <si>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</si>
  <si>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</si>
  <si>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</si>
  <si>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</si>
  <si>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</si>
  <si>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</si>
  <si>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</si>
  <si>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</si>
  <si>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</si>
  <si>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</si>
  <si>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</si>
  <si>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</si>
  <si>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</si>
  <si>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</si>
  <si>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</si>
  <si>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</si>
  <si>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</si>
  <si>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</si>
  <si>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</si>
  <si>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</si>
  <si>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</si>
  <si>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</si>
  <si>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</si>
  <si>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</si>
  <si>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</si>
  <si>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</si>
  <si>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</si>
  <si>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</si>
  <si>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</si>
  <si>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</si>
  <si>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</si>
  <si>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</si>
  <si>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</si>
  <si>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</si>
  <si>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</si>
  <si>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</si>
  <si>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</si>
  <si>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</si>
  <si>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</si>
  <si>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</si>
  <si>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</si>
  <si>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</si>
  <si>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</si>
  <si>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</si>
  <si>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</si>
  <si>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</si>
  <si>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</si>
  <si>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</si>
  <si>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</si>
  <si>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</si>
  <si>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</si>
  <si>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</si>
  <si>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</si>
  <si>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</si>
  <si>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</si>
  <si>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</si>
  <si>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</si>
  <si>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</si>
  <si>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</si>
  <si>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</si>
  <si>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</si>
  <si>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</si>
  <si>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</si>
  <si>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</si>
  <si>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</si>
  <si>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</si>
  <si>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</si>
  <si>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</si>
  <si>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</si>
  <si>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</si>
  <si>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</si>
  <si>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</si>
  <si>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</si>
  <si>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</si>
  <si>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</si>
  <si>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</si>
  <si>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</si>
  <si>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</si>
  <si>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</si>
  <si>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</si>
  <si>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</si>
  <si>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</si>
  <si>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</si>
  <si>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</si>
  <si>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</si>
  <si>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</si>
  <si>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</si>
  <si>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</si>
  <si>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</si>
  <si>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</si>
  <si>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</si>
  <si>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</si>
  <si>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</si>
  <si>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</si>
  <si>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</si>
  <si>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</si>
  <si>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</si>
  <si>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</si>
  <si>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</si>
  <si>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</si>
  <si>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</si>
  <si>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</si>
  <si>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</si>
  <si>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</si>
  <si>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</si>
  <si>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</si>
  <si>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</si>
  <si>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</si>
  <si>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</si>
  <si>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</si>
  <si>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</si>
  <si>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</si>
  <si>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</si>
  <si>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</si>
  <si>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</si>
  <si>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</si>
  <si>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</si>
  <si>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</si>
  <si>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</si>
  <si>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</si>
  <si>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</si>
  <si>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</si>
  <si>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</si>
  <si>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</si>
  <si>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</si>
  <si>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</si>
  <si>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</si>
  <si>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</si>
  <si>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</si>
  <si>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</si>
  <si>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</si>
  <si>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</si>
  <si>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</si>
  <si>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</si>
  <si>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</si>
  <si>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</si>
  <si>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</si>
  <si>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</si>
  <si>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</si>
  <si>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</si>
  <si>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</si>
  <si>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</si>
  <si>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</si>
  <si>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</si>
  <si>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</si>
  <si>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</si>
  <si>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</si>
  <si>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</si>
  <si>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</si>
  <si>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</si>
  <si>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</si>
  <si>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</si>
  <si>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</si>
  <si>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</si>
  <si>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</si>
  <si>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</si>
  <si>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</si>
  <si>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</si>
  <si>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</si>
  <si>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</si>
  <si>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</si>
  <si>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</si>
  <si>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</si>
  <si>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</si>
  <si>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</si>
  <si>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</si>
  <si>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</si>
  <si>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</si>
  <si>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</si>
  <si>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</si>
  <si>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</si>
  <si>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</si>
  <si>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</si>
  <si>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</si>
  <si>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</si>
  <si>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</si>
  <si>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</si>
  <si>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</si>
  <si>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</si>
  <si>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</si>
  <si>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</si>
  <si>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</si>
  <si>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</si>
  <si>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</si>
  <si>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</si>
  <si>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</si>
  <si>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</si>
  <si>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</si>
  <si>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</si>
  <si>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</si>
  <si>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</si>
  <si>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</si>
  <si>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</si>
  <si>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</si>
  <si>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</si>
  <si>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</si>
  <si>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</si>
  <si>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</si>
  <si>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</si>
  <si>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</si>
  <si>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</si>
  <si>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</si>
  <si>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</si>
  <si>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</si>
  <si>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</si>
  <si>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</si>
  <si>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</si>
  <si>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</si>
  <si>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</si>
  <si>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</si>
  <si>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</si>
  <si>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</si>
  <si>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</si>
  <si>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</si>
  <si>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</si>
  <si>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</si>
  <si>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</si>
  <si>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</si>
  <si>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</si>
  <si>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</si>
  <si>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</si>
  <si>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</si>
  <si>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</si>
  <si>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</si>
  <si>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</si>
  <si>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</si>
  <si>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</si>
  <si>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</si>
  <si>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</si>
  <si>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</si>
  <si>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</si>
  <si>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</si>
  <si>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</si>
  <si>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</si>
  <si>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</si>
  <si>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</si>
  <si>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</si>
  <si>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</si>
  <si>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</si>
  <si>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</si>
  <si>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</si>
  <si>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</si>
  <si>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</si>
  <si>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</si>
  <si>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</si>
  <si>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</si>
  <si>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</si>
  <si>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</si>
  <si>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</si>
  <si>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</si>
  <si>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</si>
  <si>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</si>
  <si>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</si>
  <si>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</si>
  <si>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</si>
  <si>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</si>
  <si>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</si>
  <si>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</si>
  <si>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</si>
  <si>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</si>
  <si>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</si>
  <si>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</si>
  <si>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</si>
  <si>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</si>
  <si>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</si>
  <si>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</si>
  <si>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</si>
  <si>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</si>
  <si>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</si>
  <si>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</si>
  <si>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</si>
  <si>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</si>
  <si>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</si>
  <si>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</si>
  <si>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</si>
  <si>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</si>
  <si>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</si>
  <si>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</si>
  <si>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</si>
  <si>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</si>
  <si>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</si>
  <si>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</si>
  <si>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</si>
  <si>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</si>
  <si>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</si>
  <si>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</si>
  <si>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</si>
  <si>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</si>
  <si>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</si>
  <si>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</si>
  <si>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</si>
  <si>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</si>
  <si>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</si>
  <si>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</si>
  <si>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</si>
  <si>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</si>
  <si>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</si>
  <si>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</si>
  <si>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</si>
  <si>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</si>
  <si>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</si>
  <si>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</si>
  <si>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</si>
  <si>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</si>
  <si>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</si>
  <si>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</si>
  <si>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</si>
  <si>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</si>
  <si>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</si>
  <si>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</si>
  <si>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</si>
  <si>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</si>
  <si>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</si>
  <si>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</si>
  <si>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</si>
  <si>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</si>
  <si>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</si>
  <si>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</si>
  <si>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</si>
  <si>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</si>
  <si>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</si>
  <si>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</si>
  <si>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</si>
  <si>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</si>
  <si>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</si>
  <si>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</si>
  <si>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</si>
  <si>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</si>
  <si>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</si>
  <si>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</si>
  <si>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</si>
  <si>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</si>
  <si>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</si>
  <si>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</si>
  <si>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</si>
  <si>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</si>
  <si>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</si>
  <si>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</si>
  <si>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</si>
  <si>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</si>
  <si>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</si>
  <si>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</si>
  <si>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</si>
  <si>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</si>
  <si>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</si>
  <si>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</si>
  <si>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</si>
  <si>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</si>
  <si>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</si>
  <si>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</si>
  <si>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</si>
  <si>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</si>
  <si>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</si>
  <si>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</si>
  <si>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</si>
  <si>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</si>
  <si>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</si>
  <si>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</si>
  <si>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</si>
  <si>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</si>
  <si>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</si>
  <si>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</si>
  <si>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</si>
  <si>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</si>
  <si>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</si>
  <si>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</si>
  <si>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</si>
  <si>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</si>
  <si>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</si>
  <si>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</si>
  <si>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</si>
  <si>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</si>
  <si>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</si>
  <si>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</si>
  <si>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</si>
  <si>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</si>
  <si>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</si>
  <si>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</si>
  <si>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</si>
  <si>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</si>
  <si>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</si>
  <si>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</si>
  <si>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</si>
  <si>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</si>
  <si>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</si>
  <si>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</si>
  <si>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</si>
  <si>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</si>
  <si>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</si>
  <si>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</si>
  <si>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</si>
  <si>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</si>
  <si>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</si>
  <si>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</si>
  <si>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</si>
  <si>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</si>
  <si>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</si>
  <si>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</si>
  <si>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</si>
  <si>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</si>
  <si>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</si>
  <si>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</si>
  <si>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</si>
  <si>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</si>
  <si>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</si>
  <si>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</si>
  <si>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</si>
  <si>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</si>
  <si>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</si>
  <si>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</si>
  <si>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</si>
  <si>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</si>
  <si>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</si>
  <si>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</si>
  <si>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</si>
  <si>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</si>
  <si>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</si>
  <si>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</si>
  <si>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</si>
  <si>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</si>
  <si>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</si>
  <si>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</si>
  <si>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</si>
  <si>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</si>
  <si>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</si>
  <si>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</si>
  <si>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</si>
  <si>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</si>
  <si>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</si>
  <si>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</si>
  <si>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</si>
  <si>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</si>
  <si>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</si>
  <si>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</si>
  <si>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"Меҳрли мактаб" давлат таълим муассасаси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</si>
  <si>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</si>
  <si>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</si>
  <si>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</si>
  <si>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</si>
  <si>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</si>
  <si>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</si>
  <si>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</si>
  <si>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</si>
  <si>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</si>
  <si>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мактабгача таълим ташкилотлари ходимларининг иш ҳақи харажатлари</t>
  </si>
  <si>
    <t>Республика илмий-педагог кутубхона</t>
  </si>
  <si>
    <t>Ўзбекистон Республикаси Мактабгача ва мактаб таълими вазири жамғармаси  ҳамдаТаълим соҳасидаги ислоҳатларга кўмаклашиш жамғармаси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</si>
  <si>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</si>
  <si>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r>
      <t xml:space="preserve">Дарсликлар ва ўқув қўлланмалар хариди 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</si>
  <si>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("Таъминот ва логистика" ДУК орқали)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</si>
  <si>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(2023 йил биринчи ярим йиллик)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</si>
  <si>
    <t>Мактабгача ва мактаб таълими вазирлигининг марказлаштирилган тадбирлар ва марказлашган харажатлар, хорижий тил ўқитувчиларини жалб қилиш ва туман (шахар) мактабгача таълим бўлимлари ходимларини рағбатлантириш жамғрамаси бўйича харажатлари</t>
  </si>
  <si>
    <r>
      <rPr>
        <b/>
        <u/>
        <sz val="14"/>
        <rFont val="Arial"/>
        <family val="2"/>
        <charset val="204"/>
      </rPr>
      <t xml:space="preserve">2023 йилнинг 9 ойлигида Мактабгача ва мактаб таълими вазирлигига республика бюджетидан ажратилган маблағлар ва уларнинг ижроси тўғрисида </t>
    </r>
    <r>
      <rPr>
        <b/>
        <u/>
        <sz val="14"/>
        <color indexed="60"/>
        <rFont val="Arial"/>
        <family val="2"/>
        <charset val="204"/>
      </rPr>
      <t xml:space="preserve">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</si>
</sst>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-;\-* #,##0.0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Arial"/>
      <family val="2"/>
      <charset val="204"/>
    </font>
    <font>
      <b/>
      <u/>
      <sz val="14"/>
      <name val="Arial"/>
      <family val="2"/>
      <charset val="204"/>
    </font>
    <font>
      <b/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165" fontId="20" fillId="0" borderId="0" applyFont="0" applyFill="0" applyBorder="0" applyAlignment="0" applyProtection="0"/>
  </cellStyleXfs>
  <cellXfs count="140">
    <xf numFmtId="0" fontId="0" fillId="0" borderId="0" xfId="0"/>
    <xf numFmtId="0" fontId="13" fillId="0" borderId="25" xfId="0" applyFont="1" applyBorder="1" applyAlignment="1">
      <alignment horizontal="center" vertical="center" wrapText="1"/>
    </xf>
    <xf numFmtId="14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wrapText="1"/>
    </xf>
    <xf numFmtId="14" fontId="14" fillId="0" borderId="2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wrapText="1"/>
    </xf>
    <xf numFmtId="0" fontId="14" fillId="2" borderId="28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8" xfId="0" applyNumberFormat="1" applyFont="1" applyFill="1" applyBorder="1" applyAlignment="1">
      <alignment horizontal="center" vertical="center" wrapText="1"/>
    </xf>
    <xf numFmtId="4" fontId="14" fillId="2" borderId="28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8" fillId="3" borderId="0" xfId="0" applyFont="1" applyFill="1"/>
    <xf numFmtId="3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Border="1" applyAlignment="1">
      <alignment vertical="top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left" vertical="top" wrapText="1"/>
    </xf>
    <xf numFmtId="164" fontId="21" fillId="3" borderId="5" xfId="0" applyNumberFormat="1" applyFont="1" applyFill="1" applyBorder="1" applyAlignment="1">
      <alignment horizontal="center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17" fillId="3" borderId="7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36" xfId="0" applyNumberFormat="1" applyFont="1" applyFill="1" applyBorder="1" applyAlignment="1">
      <alignment horizontal="left" vertical="top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2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3" fontId="23" fillId="3" borderId="18" xfId="0" applyNumberFormat="1" applyFont="1" applyFill="1" applyBorder="1" applyAlignment="1">
      <alignment horizontal="center" vertical="center" wrapText="1"/>
    </xf>
    <xf numFmtId="3" fontId="23" fillId="3" borderId="16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3" fontId="9" fillId="3" borderId="37" xfId="0" applyNumberFormat="1" applyFont="1" applyFill="1" applyBorder="1" applyAlignment="1">
      <alignment horizontal="left" vertical="center" wrapText="1" indent="2"/>
    </xf>
    <xf numFmtId="3" fontId="9" fillId="3" borderId="38" xfId="0" applyNumberFormat="1" applyFont="1" applyFill="1" applyBorder="1" applyAlignment="1">
      <alignment horizontal="left" vertical="center" wrapText="1" indent="2"/>
    </xf>
    <xf numFmtId="3" fontId="9" fillId="3" borderId="38" xfId="0" applyNumberFormat="1" applyFont="1" applyFill="1" applyBorder="1" applyAlignment="1">
      <alignment horizontal="left" vertical="center" indent="2"/>
    </xf>
    <xf numFmtId="3" fontId="9" fillId="3" borderId="39" xfId="0" applyNumberFormat="1" applyFont="1" applyFill="1" applyBorder="1" applyAlignment="1">
      <alignment horizontal="left" vertical="center" wrapText="1" inden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3" fontId="9" fillId="3" borderId="35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3" borderId="3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0" t="s">
        <v>1298</v>
      </c>
      <c r="D3" s="80"/>
      <c r="E3" s="80"/>
      <c r="F3" s="80"/>
      <c r="G3" s="80"/>
      <c r="H3" s="80"/>
      <c r="I3" s="80"/>
      <c r="J3" s="80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81" t="s">
        <v>5</v>
      </c>
      <c r="D5" s="84" t="s">
        <v>4</v>
      </c>
      <c r="E5" s="84" t="s">
        <v>1300</v>
      </c>
      <c r="F5" s="84"/>
      <c r="G5" s="84"/>
      <c r="H5" s="84"/>
      <c r="I5" s="87"/>
      <c r="J5" s="88"/>
      <c r="K5" s="34"/>
      <c r="L5" s="34"/>
      <c r="M5" s="34"/>
    </row>
    <row r="6" spans="3:32" ht="25.5" customHeight="1" x14ac:dyDescent="0.3">
      <c r="C6" s="82"/>
      <c r="D6" s="85"/>
      <c r="E6" s="89" t="s">
        <v>3</v>
      </c>
      <c r="F6" s="91" t="s">
        <v>0</v>
      </c>
      <c r="G6" s="91"/>
      <c r="H6" s="91"/>
      <c r="I6" s="92"/>
      <c r="J6" s="93"/>
    </row>
    <row r="7" spans="3:32" ht="124.5" customHeight="1" x14ac:dyDescent="0.3">
      <c r="C7" s="83"/>
      <c r="D7" s="86"/>
      <c r="E7" s="90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78" t="s">
        <v>1259</v>
      </c>
      <c r="D47" s="79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AF60"/>
  <sheetViews>
    <sheetView tabSelected="1" view="pageBreakPreview" zoomScale="55" zoomScaleNormal="55" zoomScaleSheetLayoutView="5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F8" sqref="F8:F9"/>
    </sheetView>
  </sheetViews>
  <sheetFormatPr defaultRowHeight="18" x14ac:dyDescent="0.25"/>
  <cols>
    <col min="1" max="1" width="9.140625" style="52"/>
    <col min="2" max="2" width="2.140625" style="52" customWidth="1"/>
    <col min="3" max="3" width="5.85546875" style="55" customWidth="1"/>
    <col min="4" max="4" width="96.7109375" style="55" customWidth="1"/>
    <col min="5" max="5" width="23.42578125" style="55" customWidth="1"/>
    <col min="6" max="9" width="33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95" t="s">
        <v>1338</v>
      </c>
      <c r="I2" s="95"/>
    </row>
    <row r="3" spans="3:32" ht="80.25" customHeight="1" x14ac:dyDescent="0.25">
      <c r="C3" s="98" t="s">
        <v>1357</v>
      </c>
      <c r="D3" s="99"/>
      <c r="E3" s="99"/>
      <c r="F3" s="99"/>
      <c r="G3" s="99"/>
      <c r="H3" s="99"/>
      <c r="I3" s="99"/>
      <c r="J3" s="53"/>
    </row>
    <row r="4" spans="3:32" x14ac:dyDescent="0.25">
      <c r="C4" s="100"/>
      <c r="D4" s="100"/>
      <c r="E4" s="100"/>
      <c r="F4" s="100"/>
      <c r="G4" s="100"/>
      <c r="H4" s="100"/>
      <c r="I4" s="100"/>
      <c r="J4" s="54"/>
    </row>
    <row r="5" spans="3:32" ht="17.25" customHeight="1" x14ac:dyDescent="0.25">
      <c r="I5" s="56" t="s">
        <v>1337</v>
      </c>
      <c r="J5" s="64"/>
    </row>
    <row r="6" spans="3:32" ht="66.75" customHeight="1" x14ac:dyDescent="0.25">
      <c r="C6" s="101" t="s">
        <v>5</v>
      </c>
      <c r="D6" s="104" t="s">
        <v>1334</v>
      </c>
      <c r="E6" s="107" t="s">
        <v>1355</v>
      </c>
      <c r="F6" s="108"/>
      <c r="G6" s="108"/>
      <c r="H6" s="108"/>
      <c r="I6" s="108"/>
      <c r="J6" s="65"/>
      <c r="K6" s="54"/>
      <c r="L6" s="54"/>
      <c r="M6" s="54"/>
    </row>
    <row r="7" spans="3:32" ht="44.25" customHeight="1" x14ac:dyDescent="0.25">
      <c r="C7" s="102"/>
      <c r="D7" s="105"/>
      <c r="E7" s="113" t="s">
        <v>1336</v>
      </c>
      <c r="F7" s="109" t="s">
        <v>0</v>
      </c>
      <c r="G7" s="110"/>
      <c r="H7" s="110"/>
      <c r="I7" s="110"/>
      <c r="J7" s="66"/>
    </row>
    <row r="8" spans="3:32" ht="102.75" customHeight="1" x14ac:dyDescent="0.25">
      <c r="C8" s="102"/>
      <c r="D8" s="105"/>
      <c r="E8" s="114"/>
      <c r="F8" s="111" t="s">
        <v>1</v>
      </c>
      <c r="G8" s="96" t="s">
        <v>1308</v>
      </c>
      <c r="H8" s="96" t="s">
        <v>2</v>
      </c>
      <c r="I8" s="96" t="s">
        <v>1335</v>
      </c>
      <c r="J8" s="65"/>
    </row>
    <row r="9" spans="3:32" ht="65.25" customHeight="1" x14ac:dyDescent="0.25">
      <c r="C9" s="103"/>
      <c r="D9" s="106"/>
      <c r="E9" s="115"/>
      <c r="F9" s="112"/>
      <c r="G9" s="97"/>
      <c r="H9" s="97"/>
      <c r="I9" s="97"/>
      <c r="J9" s="65"/>
    </row>
    <row r="10" spans="3:32" ht="65.25" customHeight="1" x14ac:dyDescent="0.25">
      <c r="C10" s="73">
        <v>1</v>
      </c>
      <c r="D10" s="127" t="s">
        <v>1340</v>
      </c>
      <c r="E10" s="57">
        <f t="shared" ref="E10:E58" si="0">+F10+H10+I10+G10</f>
        <v>21872849828.530994</v>
      </c>
      <c r="F10" s="131">
        <v>17426543362.421997</v>
      </c>
      <c r="G10" s="135">
        <v>4280676597.0089998</v>
      </c>
      <c r="H10" s="138"/>
      <c r="I10" s="58">
        <v>165629869.09999999</v>
      </c>
      <c r="J10" s="67"/>
      <c r="K10" s="61"/>
      <c r="L10" s="61"/>
      <c r="M10" s="68"/>
      <c r="N10" s="68"/>
    </row>
    <row r="11" spans="3:32" ht="65.25" customHeight="1" x14ac:dyDescent="0.25">
      <c r="C11" s="73">
        <v>2</v>
      </c>
      <c r="D11" s="128" t="s">
        <v>1349</v>
      </c>
      <c r="E11" s="57">
        <f t="shared" si="0"/>
        <v>4403748903.8660002</v>
      </c>
      <c r="F11" s="132">
        <v>3547407213.915</v>
      </c>
      <c r="G11" s="136">
        <v>856341689.95099998</v>
      </c>
      <c r="H11" s="139"/>
      <c r="I11" s="58"/>
      <c r="J11" s="67"/>
      <c r="K11" s="61"/>
    </row>
    <row r="12" spans="3:32" s="59" customFormat="1" ht="46.5" customHeight="1" x14ac:dyDescent="0.25">
      <c r="C12" s="73">
        <f>+C11+1</f>
        <v>3</v>
      </c>
      <c r="D12" s="128" t="s">
        <v>1341</v>
      </c>
      <c r="E12" s="57">
        <f t="shared" si="0"/>
        <v>11670013.452</v>
      </c>
      <c r="F12" s="133">
        <v>7114890.4900000002</v>
      </c>
      <c r="G12" s="58">
        <v>1684375.267</v>
      </c>
      <c r="H12" s="58">
        <v>2870747.6949999998</v>
      </c>
      <c r="I12" s="58"/>
      <c r="J12" s="67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</row>
    <row r="13" spans="3:32" s="59" customFormat="1" ht="84.75" customHeight="1" x14ac:dyDescent="0.25">
      <c r="C13" s="73">
        <f t="shared" ref="C13:C46" si="1">+C12+1</f>
        <v>4</v>
      </c>
      <c r="D13" s="128" t="s">
        <v>1356</v>
      </c>
      <c r="E13" s="57">
        <f t="shared" si="0"/>
        <v>98381223</v>
      </c>
      <c r="F13" s="133"/>
      <c r="G13" s="58"/>
      <c r="H13" s="58">
        <v>98381223</v>
      </c>
      <c r="I13" s="58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</row>
    <row r="14" spans="3:32" s="59" customFormat="1" ht="58.5" customHeight="1" x14ac:dyDescent="0.25">
      <c r="C14" s="73">
        <f t="shared" si="1"/>
        <v>5</v>
      </c>
      <c r="D14" s="128" t="s">
        <v>1309</v>
      </c>
      <c r="E14" s="57">
        <f t="shared" si="0"/>
        <v>9463512</v>
      </c>
      <c r="F14" s="133">
        <f>1815510.618+4360499.382</f>
        <v>6176010</v>
      </c>
      <c r="G14" s="58">
        <f>324006.731+901213.269</f>
        <v>1225220</v>
      </c>
      <c r="H14" s="58">
        <f>275801.734+1786480.266</f>
        <v>2062282</v>
      </c>
      <c r="I14" s="58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</row>
    <row r="15" spans="3:32" s="59" customFormat="1" ht="58.5" customHeight="1" x14ac:dyDescent="0.25">
      <c r="C15" s="73">
        <f t="shared" si="1"/>
        <v>6</v>
      </c>
      <c r="D15" s="128" t="s">
        <v>1310</v>
      </c>
      <c r="E15" s="57">
        <f t="shared" si="0"/>
        <v>8631997</v>
      </c>
      <c r="F15" s="133">
        <f>1869956.599+3815059.401</f>
        <v>5685016</v>
      </c>
      <c r="G15" s="58">
        <f>515627.15+892319.85</f>
        <v>1407947</v>
      </c>
      <c r="H15" s="58">
        <f>161006+1378028</f>
        <v>1539034</v>
      </c>
      <c r="I15" s="58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</row>
    <row r="16" spans="3:32" s="59" customFormat="1" ht="58.5" customHeight="1" x14ac:dyDescent="0.25">
      <c r="C16" s="73">
        <f t="shared" si="1"/>
        <v>7</v>
      </c>
      <c r="D16" s="128" t="s">
        <v>1311</v>
      </c>
      <c r="E16" s="57">
        <f t="shared" si="0"/>
        <v>7095763</v>
      </c>
      <c r="F16" s="133">
        <f>1021052.825+3159157.175</f>
        <v>4180210</v>
      </c>
      <c r="G16" s="58">
        <f>246880.668+787912.332</f>
        <v>1034793</v>
      </c>
      <c r="H16" s="58">
        <f>73037+1807723</f>
        <v>1880760</v>
      </c>
      <c r="I16" s="58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</row>
    <row r="17" spans="3:32" s="59" customFormat="1" ht="58.5" customHeight="1" x14ac:dyDescent="0.25">
      <c r="C17" s="73">
        <f t="shared" si="1"/>
        <v>8</v>
      </c>
      <c r="D17" s="128" t="s">
        <v>1312</v>
      </c>
      <c r="E17" s="57">
        <f t="shared" si="0"/>
        <v>6985129</v>
      </c>
      <c r="F17" s="133">
        <f>1409053.987+2864899.013</f>
        <v>4273953</v>
      </c>
      <c r="G17" s="58">
        <f>375230.509+688625.491</f>
        <v>1063856</v>
      </c>
      <c r="H17" s="58">
        <f>205806+1441514</f>
        <v>1647320</v>
      </c>
      <c r="I17" s="58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</row>
    <row r="18" spans="3:32" s="59" customFormat="1" ht="58.5" customHeight="1" x14ac:dyDescent="0.25">
      <c r="C18" s="73">
        <f t="shared" si="1"/>
        <v>9</v>
      </c>
      <c r="D18" s="128" t="s">
        <v>1313</v>
      </c>
      <c r="E18" s="57">
        <f t="shared" si="0"/>
        <v>7955571</v>
      </c>
      <c r="F18" s="133">
        <f>1093204.149+2436736.851</f>
        <v>3529941</v>
      </c>
      <c r="G18" s="58">
        <f>283964.342+585310.658</f>
        <v>869275</v>
      </c>
      <c r="H18" s="58">
        <f>176373+3379982</f>
        <v>3556355</v>
      </c>
      <c r="I18" s="58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3:32" s="59" customFormat="1" ht="58.5" customHeight="1" x14ac:dyDescent="0.25">
      <c r="C19" s="73">
        <f t="shared" si="1"/>
        <v>10</v>
      </c>
      <c r="D19" s="128" t="s">
        <v>1314</v>
      </c>
      <c r="E19" s="57">
        <f t="shared" si="0"/>
        <v>9018390</v>
      </c>
      <c r="F19" s="133">
        <f>1640776.059+3415656.941</f>
        <v>5056433</v>
      </c>
      <c r="G19" s="58">
        <f>446886.709+805190.291</f>
        <v>1252077</v>
      </c>
      <c r="H19" s="58">
        <f>186626+2523254</f>
        <v>2709880</v>
      </c>
      <c r="I19" s="58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</row>
    <row r="20" spans="3:32" s="59" customFormat="1" ht="58.5" customHeight="1" x14ac:dyDescent="0.25">
      <c r="C20" s="73">
        <f t="shared" si="1"/>
        <v>11</v>
      </c>
      <c r="D20" s="128" t="s">
        <v>1315</v>
      </c>
      <c r="E20" s="57">
        <f t="shared" si="0"/>
        <v>7936776</v>
      </c>
      <c r="F20" s="133">
        <f>1315892.584+2807936.416</f>
        <v>4123829</v>
      </c>
      <c r="G20" s="58">
        <f>343982.814+677050.186</f>
        <v>1021033</v>
      </c>
      <c r="H20" s="58">
        <f>86229+2705685</f>
        <v>2791914</v>
      </c>
      <c r="I20" s="58"/>
      <c r="J20" s="67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3:32" s="59" customFormat="1" ht="58.5" customHeight="1" x14ac:dyDescent="0.25">
      <c r="C21" s="73">
        <f t="shared" si="1"/>
        <v>12</v>
      </c>
      <c r="D21" s="128" t="s">
        <v>1316</v>
      </c>
      <c r="E21" s="57">
        <f t="shared" si="0"/>
        <v>7075905</v>
      </c>
      <c r="F21" s="133">
        <f>1499410.455+3196058.545</f>
        <v>4695469</v>
      </c>
      <c r="G21" s="58">
        <f>397447.599+765298.401</f>
        <v>1162746</v>
      </c>
      <c r="H21" s="58">
        <f>216274+1001416</f>
        <v>1217690</v>
      </c>
      <c r="I21" s="58"/>
      <c r="J21" s="67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</row>
    <row r="22" spans="3:32" s="59" customFormat="1" ht="58.5" customHeight="1" x14ac:dyDescent="0.25">
      <c r="C22" s="73">
        <f t="shared" si="1"/>
        <v>13</v>
      </c>
      <c r="D22" s="128" t="s">
        <v>1317</v>
      </c>
      <c r="E22" s="57">
        <f t="shared" si="0"/>
        <v>9433254</v>
      </c>
      <c r="F22" s="133">
        <f>2288114.521+3993059.479</f>
        <v>6281174</v>
      </c>
      <c r="G22" s="58">
        <f>594058.777+952721.223</f>
        <v>1546780</v>
      </c>
      <c r="H22" s="58">
        <f>105721.306+1499578.694</f>
        <v>1605300</v>
      </c>
      <c r="I22" s="58"/>
      <c r="J22" s="67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3:32" s="59" customFormat="1" ht="58.5" customHeight="1" x14ac:dyDescent="0.25">
      <c r="C23" s="73">
        <f t="shared" si="1"/>
        <v>14</v>
      </c>
      <c r="D23" s="128" t="s">
        <v>1318</v>
      </c>
      <c r="E23" s="57">
        <f t="shared" si="0"/>
        <v>9040131</v>
      </c>
      <c r="F23" s="133">
        <f>1579782.348+3388604.852</f>
        <v>4968387.2</v>
      </c>
      <c r="G23" s="58">
        <f>448777.087+772366.713</f>
        <v>1221143.8</v>
      </c>
      <c r="H23" s="58">
        <f>59380+2791220</f>
        <v>2850600</v>
      </c>
      <c r="I23" s="58"/>
      <c r="J23" s="67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3:32" s="59" customFormat="1" ht="58.5" customHeight="1" x14ac:dyDescent="0.25">
      <c r="C24" s="73">
        <f t="shared" si="1"/>
        <v>15</v>
      </c>
      <c r="D24" s="128" t="s">
        <v>1320</v>
      </c>
      <c r="E24" s="57">
        <f t="shared" si="0"/>
        <v>5776180</v>
      </c>
      <c r="F24" s="133">
        <f>801901.566+1889321.434</f>
        <v>2691223</v>
      </c>
      <c r="G24" s="58">
        <f>212481.413+453545.587</f>
        <v>666027</v>
      </c>
      <c r="H24" s="58">
        <f>112497+2306433</f>
        <v>2418930</v>
      </c>
      <c r="I24" s="58"/>
      <c r="J24" s="67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3:32" s="59" customFormat="1" ht="58.5" customHeight="1" x14ac:dyDescent="0.25">
      <c r="C25" s="73">
        <f t="shared" si="1"/>
        <v>16</v>
      </c>
      <c r="D25" s="128" t="s">
        <v>1319</v>
      </c>
      <c r="E25" s="57">
        <f t="shared" si="0"/>
        <v>6920399</v>
      </c>
      <c r="F25" s="133">
        <f>1688773.215+2560842.785</f>
        <v>4249616</v>
      </c>
      <c r="G25" s="58">
        <f>416039.907+636593.093</f>
        <v>1052633</v>
      </c>
      <c r="H25" s="58">
        <f>204600+1413550</f>
        <v>1618150</v>
      </c>
      <c r="I25" s="58"/>
      <c r="J25" s="67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</row>
    <row r="26" spans="3:32" s="59" customFormat="1" ht="58.5" customHeight="1" x14ac:dyDescent="0.25">
      <c r="C26" s="73">
        <f t="shared" si="1"/>
        <v>17</v>
      </c>
      <c r="D26" s="128" t="s">
        <v>1321</v>
      </c>
      <c r="E26" s="57">
        <f t="shared" si="0"/>
        <v>9051745</v>
      </c>
      <c r="F26" s="133">
        <f>1752480.303+4233436.697</f>
        <v>5985917</v>
      </c>
      <c r="G26" s="58">
        <f>476064.933+1006243.067</f>
        <v>1482308</v>
      </c>
      <c r="H26" s="58">
        <f>213132+1370388</f>
        <v>1583520</v>
      </c>
      <c r="I26" s="58"/>
      <c r="J26" s="67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</row>
    <row r="27" spans="3:32" s="59" customFormat="1" ht="58.5" customHeight="1" x14ac:dyDescent="0.25">
      <c r="C27" s="73">
        <f t="shared" si="1"/>
        <v>18</v>
      </c>
      <c r="D27" s="128" t="s">
        <v>1322</v>
      </c>
      <c r="E27" s="57">
        <f t="shared" si="0"/>
        <v>7643207</v>
      </c>
      <c r="F27" s="133">
        <f>996493.394+3223929.606</f>
        <v>4220423</v>
      </c>
      <c r="G27" s="58">
        <f>248751.558+796082.442</f>
        <v>1044834</v>
      </c>
      <c r="H27" s="58">
        <f>180382.96+2197567.04</f>
        <v>2377950</v>
      </c>
      <c r="I27" s="58"/>
      <c r="J27" s="6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</row>
    <row r="28" spans="3:32" s="59" customFormat="1" ht="58.5" customHeight="1" x14ac:dyDescent="0.25">
      <c r="C28" s="73">
        <f t="shared" si="1"/>
        <v>19</v>
      </c>
      <c r="D28" s="128" t="s">
        <v>1323</v>
      </c>
      <c r="E28" s="57">
        <f t="shared" si="0"/>
        <v>7199193</v>
      </c>
      <c r="F28" s="133">
        <f>985377.99+2376460.91</f>
        <v>3361838.9000000004</v>
      </c>
      <c r="G28" s="58">
        <f>250255.379+596148.621</f>
        <v>846404</v>
      </c>
      <c r="H28" s="58">
        <f>207950+2783000.1</f>
        <v>2990950.1</v>
      </c>
      <c r="I28" s="58"/>
      <c r="J28" s="67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</row>
    <row r="29" spans="3:32" s="59" customFormat="1" ht="47.25" customHeight="1" x14ac:dyDescent="0.25">
      <c r="C29" s="73">
        <f t="shared" si="1"/>
        <v>20</v>
      </c>
      <c r="D29" s="128" t="s">
        <v>1324</v>
      </c>
      <c r="E29" s="57">
        <f t="shared" si="0"/>
        <v>4661748.2209999999</v>
      </c>
      <c r="F29" s="133">
        <v>2798475.2209999999</v>
      </c>
      <c r="G29" s="58">
        <v>737626</v>
      </c>
      <c r="H29" s="58">
        <v>1125647</v>
      </c>
      <c r="I29" s="58"/>
      <c r="J29" s="67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</row>
    <row r="30" spans="3:32" s="59" customFormat="1" ht="47.25" customHeight="1" x14ac:dyDescent="0.25">
      <c r="C30" s="73">
        <f>+C29+1</f>
        <v>21</v>
      </c>
      <c r="D30" s="128" t="s">
        <v>1325</v>
      </c>
      <c r="E30" s="57">
        <f t="shared" si="0"/>
        <v>7661987.5</v>
      </c>
      <c r="F30" s="133">
        <f>1392609.677+3431772.323</f>
        <v>4824382</v>
      </c>
      <c r="G30" s="58">
        <f>345111.98+848001.52</f>
        <v>1193113.5</v>
      </c>
      <c r="H30" s="58">
        <f>308628+1335864</f>
        <v>1644492</v>
      </c>
      <c r="I30" s="58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</row>
    <row r="31" spans="3:32" s="59" customFormat="1" ht="58.5" customHeight="1" x14ac:dyDescent="0.25">
      <c r="C31" s="73">
        <f t="shared" si="1"/>
        <v>22</v>
      </c>
      <c r="D31" s="128" t="s">
        <v>1327</v>
      </c>
      <c r="E31" s="57">
        <f t="shared" si="0"/>
        <v>5386798</v>
      </c>
      <c r="F31" s="133">
        <f>1303202.50645+2994985.49355</f>
        <v>4298188</v>
      </c>
      <c r="G31" s="58">
        <f>322180.20779+740020.79221</f>
        <v>1062201</v>
      </c>
      <c r="H31" s="58">
        <f>830+25579</f>
        <v>26409</v>
      </c>
      <c r="I31" s="58"/>
      <c r="J31" s="67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3:32" s="59" customFormat="1" ht="41.25" customHeight="1" x14ac:dyDescent="0.25">
      <c r="C32" s="73">
        <f t="shared" si="1"/>
        <v>23</v>
      </c>
      <c r="D32" s="128" t="s">
        <v>1326</v>
      </c>
      <c r="E32" s="57">
        <f t="shared" si="0"/>
        <v>6206036.5</v>
      </c>
      <c r="F32" s="133">
        <f>1182107.699+3005995.301</f>
        <v>4188103</v>
      </c>
      <c r="G32" s="58">
        <f>284711.972+750447.028</f>
        <v>1035159</v>
      </c>
      <c r="H32" s="58">
        <f>169293+813481.5</f>
        <v>982774.5</v>
      </c>
      <c r="I32" s="58"/>
      <c r="J32" s="6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3:32" s="59" customFormat="1" ht="41.25" customHeight="1" x14ac:dyDescent="0.25">
      <c r="C33" s="73">
        <f t="shared" si="1"/>
        <v>24</v>
      </c>
      <c r="D33" s="128" t="s">
        <v>1328</v>
      </c>
      <c r="E33" s="57">
        <f t="shared" si="0"/>
        <v>5131836</v>
      </c>
      <c r="F33" s="133">
        <f>1067519.216+2560099.784</f>
        <v>3627619</v>
      </c>
      <c r="G33" s="58">
        <f>267098.98+636671.02</f>
        <v>903770</v>
      </c>
      <c r="H33" s="58">
        <f>447232+153215</f>
        <v>600447</v>
      </c>
      <c r="I33" s="58"/>
      <c r="J33" s="6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3:32" s="59" customFormat="1" ht="41.25" customHeight="1" x14ac:dyDescent="0.25">
      <c r="C34" s="73">
        <f>+C33+1</f>
        <v>25</v>
      </c>
      <c r="D34" s="128" t="s">
        <v>1339</v>
      </c>
      <c r="E34" s="57">
        <f t="shared" si="0"/>
        <v>3224975</v>
      </c>
      <c r="F34" s="133">
        <f>475261+1864739</f>
        <v>2340000</v>
      </c>
      <c r="G34" s="58">
        <f>117620+459380</f>
        <v>577000</v>
      </c>
      <c r="H34" s="58">
        <f>24942+283033</f>
        <v>307975</v>
      </c>
      <c r="I34" s="58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3:32" s="59" customFormat="1" ht="41.25" customHeight="1" x14ac:dyDescent="0.25">
      <c r="C35" s="73">
        <f>+C34+1</f>
        <v>26</v>
      </c>
      <c r="D35" s="128" t="s">
        <v>1329</v>
      </c>
      <c r="E35" s="57">
        <f t="shared" si="0"/>
        <v>6850655</v>
      </c>
      <c r="F35" s="133">
        <f>1150986+1842614</f>
        <v>2993600</v>
      </c>
      <c r="G35" s="58">
        <f>290030+452470</f>
        <v>742500</v>
      </c>
      <c r="H35" s="58">
        <f>669330+2445225</f>
        <v>3114555</v>
      </c>
      <c r="I35" s="58"/>
      <c r="J35" s="67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3:32" s="59" customFormat="1" ht="41.25" customHeight="1" x14ac:dyDescent="0.25">
      <c r="C36" s="73">
        <f t="shared" si="1"/>
        <v>27</v>
      </c>
      <c r="D36" s="128" t="s">
        <v>1330</v>
      </c>
      <c r="E36" s="57">
        <f t="shared" si="0"/>
        <v>642204</v>
      </c>
      <c r="F36" s="133">
        <f>164691+300109</f>
        <v>464800</v>
      </c>
      <c r="G36" s="58">
        <f>42256+72964</f>
        <v>115220</v>
      </c>
      <c r="H36" s="58">
        <f>13679+48505</f>
        <v>62184</v>
      </c>
      <c r="I36" s="58"/>
      <c r="J36" s="67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</row>
    <row r="37" spans="3:32" s="59" customFormat="1" ht="41.25" customHeight="1" x14ac:dyDescent="0.25">
      <c r="C37" s="73">
        <f t="shared" si="1"/>
        <v>28</v>
      </c>
      <c r="D37" s="128" t="s">
        <v>1331</v>
      </c>
      <c r="E37" s="57">
        <f t="shared" si="0"/>
        <v>904486</v>
      </c>
      <c r="F37" s="133">
        <f>87415+241665</f>
        <v>329080</v>
      </c>
      <c r="G37" s="58">
        <f>25054+56536</f>
        <v>81590</v>
      </c>
      <c r="H37" s="58">
        <f>22042+471774</f>
        <v>493816</v>
      </c>
      <c r="I37" s="58"/>
      <c r="J37" s="67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</row>
    <row r="38" spans="3:32" s="59" customFormat="1" ht="41.25" customHeight="1" x14ac:dyDescent="0.25">
      <c r="C38" s="73">
        <f>+C37+1</f>
        <v>29</v>
      </c>
      <c r="D38" s="128" t="s">
        <v>1332</v>
      </c>
      <c r="E38" s="57">
        <f t="shared" si="0"/>
        <v>2716926.4939999999</v>
      </c>
      <c r="F38" s="133">
        <f>405255.994+1319888</f>
        <v>1725143.9939999999</v>
      </c>
      <c r="G38" s="58">
        <f>99285.5+327688</f>
        <v>426973.5</v>
      </c>
      <c r="H38" s="58">
        <f>36501+528308</f>
        <v>564809</v>
      </c>
      <c r="I38" s="58"/>
      <c r="J38" s="6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</row>
    <row r="39" spans="3:32" s="59" customFormat="1" ht="55.5" customHeight="1" x14ac:dyDescent="0.25">
      <c r="C39" s="73">
        <f t="shared" si="1"/>
        <v>30</v>
      </c>
      <c r="D39" s="128" t="s">
        <v>1260</v>
      </c>
      <c r="E39" s="57">
        <f t="shared" si="0"/>
        <v>5568315</v>
      </c>
      <c r="F39" s="133">
        <f>1547932+2524212</f>
        <v>4072144</v>
      </c>
      <c r="G39" s="58">
        <f>416845+591784</f>
        <v>1008629</v>
      </c>
      <c r="H39" s="58">
        <f>84655+402887</f>
        <v>487542</v>
      </c>
      <c r="I39" s="71"/>
      <c r="J39" s="67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</row>
    <row r="40" spans="3:32" s="59" customFormat="1" ht="41.25" customHeight="1" x14ac:dyDescent="0.25">
      <c r="C40" s="73">
        <f t="shared" si="1"/>
        <v>31</v>
      </c>
      <c r="D40" s="128" t="s">
        <v>1261</v>
      </c>
      <c r="E40" s="57">
        <f t="shared" si="0"/>
        <v>2182952</v>
      </c>
      <c r="F40" s="133">
        <f>551746+938714</f>
        <v>1490460</v>
      </c>
      <c r="G40" s="58">
        <f>147703+220153</f>
        <v>367856</v>
      </c>
      <c r="H40" s="58">
        <f>18390+306246</f>
        <v>324636</v>
      </c>
      <c r="I40" s="58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</row>
    <row r="41" spans="3:32" s="59" customFormat="1" ht="41.25" customHeight="1" x14ac:dyDescent="0.25">
      <c r="C41" s="73">
        <f t="shared" si="1"/>
        <v>32</v>
      </c>
      <c r="D41" s="128" t="s">
        <v>1262</v>
      </c>
      <c r="E41" s="57">
        <f t="shared" si="0"/>
        <v>4134924</v>
      </c>
      <c r="F41" s="133">
        <f>599816+1164304</f>
        <v>1764120</v>
      </c>
      <c r="G41" s="58">
        <f>143815+296585</f>
        <v>440400</v>
      </c>
      <c r="H41" s="58">
        <f>150694+1779710</f>
        <v>1930404</v>
      </c>
      <c r="I41" s="58"/>
      <c r="J41" s="67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3:32" s="59" customFormat="1" ht="41.25" customHeight="1" x14ac:dyDescent="0.25">
      <c r="C42" s="73">
        <f t="shared" si="1"/>
        <v>33</v>
      </c>
      <c r="D42" s="128" t="s">
        <v>1290</v>
      </c>
      <c r="E42" s="57">
        <f t="shared" si="0"/>
        <v>371930</v>
      </c>
      <c r="F42" s="133">
        <f>91068+194473</f>
        <v>285541</v>
      </c>
      <c r="G42" s="58">
        <f>22930+48459</f>
        <v>71389</v>
      </c>
      <c r="H42" s="58">
        <v>15000</v>
      </c>
      <c r="I42" s="58"/>
      <c r="J42" s="67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3:32" s="59" customFormat="1" ht="41.25" customHeight="1" x14ac:dyDescent="0.25">
      <c r="C43" s="73">
        <f t="shared" si="1"/>
        <v>34</v>
      </c>
      <c r="D43" s="128" t="s">
        <v>1294</v>
      </c>
      <c r="E43" s="57">
        <f t="shared" si="0"/>
        <v>352464</v>
      </c>
      <c r="F43" s="133">
        <f>93633+188239</f>
        <v>281872</v>
      </c>
      <c r="G43" s="58">
        <f>21603+48989</f>
        <v>70592</v>
      </c>
      <c r="H43" s="58"/>
      <c r="I43" s="58"/>
      <c r="J43" s="67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</row>
    <row r="44" spans="3:32" s="59" customFormat="1" ht="41.25" customHeight="1" x14ac:dyDescent="0.25">
      <c r="C44" s="73">
        <f t="shared" si="1"/>
        <v>35</v>
      </c>
      <c r="D44" s="129" t="s">
        <v>1265</v>
      </c>
      <c r="E44" s="57">
        <f t="shared" si="0"/>
        <v>176929</v>
      </c>
      <c r="F44" s="133">
        <f>59900+81748</f>
        <v>141648</v>
      </c>
      <c r="G44" s="58">
        <f>14900+20381</f>
        <v>35281</v>
      </c>
      <c r="H44" s="58"/>
      <c r="I44" s="58"/>
      <c r="J44" s="67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</row>
    <row r="45" spans="3:32" s="59" customFormat="1" ht="41.25" customHeight="1" x14ac:dyDescent="0.25">
      <c r="C45" s="73">
        <f t="shared" si="1"/>
        <v>36</v>
      </c>
      <c r="D45" s="128" t="s">
        <v>1295</v>
      </c>
      <c r="E45" s="57">
        <f t="shared" si="0"/>
        <v>248727</v>
      </c>
      <c r="F45" s="133">
        <f>79852+119580</f>
        <v>199432</v>
      </c>
      <c r="G45" s="58">
        <f>20030+29265</f>
        <v>49295</v>
      </c>
      <c r="H45" s="58"/>
      <c r="I45" s="58"/>
      <c r="J45" s="6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</row>
    <row r="46" spans="3:32" s="59" customFormat="1" ht="41.25" customHeight="1" x14ac:dyDescent="0.25">
      <c r="C46" s="73">
        <f t="shared" si="1"/>
        <v>37</v>
      </c>
      <c r="D46" s="128" t="s">
        <v>1333</v>
      </c>
      <c r="E46" s="57">
        <f t="shared" si="0"/>
        <v>3032614</v>
      </c>
      <c r="F46" s="133">
        <f>524337+780129</f>
        <v>1304466</v>
      </c>
      <c r="G46" s="58">
        <f>126413+196864</f>
        <v>323277</v>
      </c>
      <c r="H46" s="58">
        <f>829262+575609</f>
        <v>1404871</v>
      </c>
      <c r="I46" s="58"/>
      <c r="J46" s="67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3:32" s="59" customFormat="1" ht="45" customHeight="1" x14ac:dyDescent="0.25">
      <c r="C47" s="73">
        <f>+C46+1</f>
        <v>38</v>
      </c>
      <c r="D47" s="128" t="s">
        <v>1342</v>
      </c>
      <c r="E47" s="57">
        <f t="shared" si="0"/>
        <v>49272591.658</v>
      </c>
      <c r="F47" s="133">
        <f>12033842+19519138</f>
        <v>31552980</v>
      </c>
      <c r="G47" s="58">
        <f>423987+873587</f>
        <v>1297574</v>
      </c>
      <c r="H47" s="58">
        <f>2040842.783+14381194.875</f>
        <v>16422037.658</v>
      </c>
      <c r="I47" s="58"/>
      <c r="J47" s="67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3:32" s="59" customFormat="1" ht="45.75" customHeight="1" x14ac:dyDescent="0.25">
      <c r="C48" s="73">
        <f t="shared" ref="C48:C53" si="2">+C47+1</f>
        <v>39</v>
      </c>
      <c r="D48" s="128" t="s">
        <v>1350</v>
      </c>
      <c r="E48" s="57">
        <f t="shared" si="0"/>
        <v>1363113</v>
      </c>
      <c r="F48" s="133">
        <v>833060</v>
      </c>
      <c r="G48" s="58">
        <v>208897</v>
      </c>
      <c r="H48" s="58">
        <v>321156</v>
      </c>
      <c r="I48" s="58"/>
      <c r="J48" s="67"/>
      <c r="K48" s="68" t="e">
        <f>+#REF!-H48</f>
        <v>#REF!</v>
      </c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3:32" s="59" customFormat="1" ht="48.75" customHeight="1" x14ac:dyDescent="0.25">
      <c r="C49" s="73">
        <f t="shared" si="2"/>
        <v>40</v>
      </c>
      <c r="D49" s="128" t="s">
        <v>1343</v>
      </c>
      <c r="E49" s="57">
        <f t="shared" si="0"/>
        <v>2817844</v>
      </c>
      <c r="F49" s="133">
        <f>1098164+952656</f>
        <v>2050820</v>
      </c>
      <c r="G49" s="58">
        <f>288396+216648</f>
        <v>505044</v>
      </c>
      <c r="H49" s="58">
        <f>184445+77535</f>
        <v>261980</v>
      </c>
      <c r="I49" s="58"/>
      <c r="J49" s="67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3:32" s="59" customFormat="1" ht="51.75" customHeight="1" x14ac:dyDescent="0.25">
      <c r="C50" s="73">
        <f t="shared" si="2"/>
        <v>41</v>
      </c>
      <c r="D50" s="128" t="s">
        <v>1344</v>
      </c>
      <c r="E50" s="57">
        <f t="shared" si="0"/>
        <v>678672</v>
      </c>
      <c r="F50" s="133">
        <f>115756+401229</f>
        <v>516985</v>
      </c>
      <c r="G50" s="58">
        <f>30855+97332</f>
        <v>128187</v>
      </c>
      <c r="H50" s="58">
        <f>7304+26196</f>
        <v>33500</v>
      </c>
      <c r="I50" s="58"/>
      <c r="J50" s="67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3:32" s="59" customFormat="1" ht="62.25" customHeight="1" x14ac:dyDescent="0.25">
      <c r="C51" s="73">
        <f t="shared" si="2"/>
        <v>42</v>
      </c>
      <c r="D51" s="128" t="s">
        <v>1345</v>
      </c>
      <c r="E51" s="57">
        <f t="shared" si="0"/>
        <v>1516028</v>
      </c>
      <c r="F51" s="133">
        <v>825428</v>
      </c>
      <c r="G51" s="58">
        <v>192753</v>
      </c>
      <c r="H51" s="58">
        <v>497847</v>
      </c>
      <c r="I51" s="58"/>
      <c r="J51" s="6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3:32" s="59" customFormat="1" ht="59.25" customHeight="1" x14ac:dyDescent="0.25">
      <c r="C52" s="73">
        <f t="shared" si="2"/>
        <v>43</v>
      </c>
      <c r="D52" s="128" t="s">
        <v>1346</v>
      </c>
      <c r="E52" s="72">
        <f t="shared" si="0"/>
        <v>2618704</v>
      </c>
      <c r="F52" s="133">
        <v>1661896</v>
      </c>
      <c r="G52" s="58">
        <v>412500</v>
      </c>
      <c r="H52" s="58">
        <v>544308</v>
      </c>
      <c r="I52" s="58"/>
      <c r="J52" s="67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3:32" s="59" customFormat="1" ht="72.75" customHeight="1" x14ac:dyDescent="0.25">
      <c r="C53" s="73">
        <f t="shared" si="2"/>
        <v>44</v>
      </c>
      <c r="D53" s="128" t="s">
        <v>1347</v>
      </c>
      <c r="E53" s="72">
        <f t="shared" si="0"/>
        <v>517839.55800000002</v>
      </c>
      <c r="F53" s="133">
        <f>150722.074+251771.23</f>
        <v>402493.304</v>
      </c>
      <c r="G53" s="58">
        <f>36329.96+63266.294</f>
        <v>99596.254000000001</v>
      </c>
      <c r="H53" s="58">
        <f>14988.65+761.35</f>
        <v>15750</v>
      </c>
      <c r="I53" s="58"/>
      <c r="J53" s="67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3:32" s="59" customFormat="1" ht="70.5" customHeight="1" x14ac:dyDescent="0.25">
      <c r="C54" s="73">
        <f>+C53+1</f>
        <v>45</v>
      </c>
      <c r="D54" s="128" t="s">
        <v>1348</v>
      </c>
      <c r="E54" s="72">
        <f t="shared" si="0"/>
        <v>352350</v>
      </c>
      <c r="F54" s="133">
        <v>230178</v>
      </c>
      <c r="G54" s="58">
        <v>58032</v>
      </c>
      <c r="H54" s="58">
        <v>64140</v>
      </c>
      <c r="I54" s="58"/>
      <c r="J54" s="6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3:32" s="59" customFormat="1" ht="77.25" customHeight="1" x14ac:dyDescent="0.25">
      <c r="C55" s="73">
        <f>+C54+1</f>
        <v>46</v>
      </c>
      <c r="D55" s="128" t="s">
        <v>1351</v>
      </c>
      <c r="E55" s="72">
        <f t="shared" si="0"/>
        <v>178600000</v>
      </c>
      <c r="F55" s="133"/>
      <c r="G55" s="58"/>
      <c r="H55" s="58">
        <f>50000000+128600000</f>
        <v>178600000</v>
      </c>
      <c r="I55" s="58"/>
      <c r="J55" s="6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3:32" s="59" customFormat="1" ht="59.25" customHeight="1" x14ac:dyDescent="0.25">
      <c r="C56" s="73">
        <f t="shared" ref="C56:C58" si="3">+C55+1</f>
        <v>47</v>
      </c>
      <c r="D56" s="128" t="s">
        <v>1352</v>
      </c>
      <c r="E56" s="72">
        <f t="shared" si="0"/>
        <v>31032042</v>
      </c>
      <c r="F56" s="133"/>
      <c r="G56" s="58"/>
      <c r="H56" s="58">
        <v>31032042</v>
      </c>
      <c r="I56" s="58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3:32" s="59" customFormat="1" ht="63" customHeight="1" x14ac:dyDescent="0.25">
      <c r="C57" s="73">
        <f t="shared" si="3"/>
        <v>48</v>
      </c>
      <c r="D57" s="128" t="s">
        <v>1353</v>
      </c>
      <c r="E57" s="72">
        <f t="shared" si="0"/>
        <v>824847321</v>
      </c>
      <c r="F57" s="133"/>
      <c r="G57" s="58"/>
      <c r="H57" s="58">
        <v>824847321</v>
      </c>
      <c r="I57" s="58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3:32" s="60" customFormat="1" ht="125.25" customHeight="1" x14ac:dyDescent="0.25">
      <c r="C58" s="74">
        <f t="shared" si="3"/>
        <v>49</v>
      </c>
      <c r="D58" s="130" t="s">
        <v>1354</v>
      </c>
      <c r="E58" s="72">
        <f t="shared" si="0"/>
        <v>729057395.10000002</v>
      </c>
      <c r="F58" s="134"/>
      <c r="G58" s="137"/>
      <c r="H58" s="137">
        <v>563427526</v>
      </c>
      <c r="I58" s="75">
        <f>SUM(I10:I57)</f>
        <v>165629869.09999999</v>
      </c>
      <c r="J58" s="69"/>
      <c r="K58" s="70"/>
      <c r="L58" s="68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</row>
    <row r="59" spans="3:32" ht="65.25" customHeight="1" x14ac:dyDescent="0.25">
      <c r="C59" s="116" t="s">
        <v>1336</v>
      </c>
      <c r="D59" s="117"/>
      <c r="E59" s="76">
        <f>SUM(E10:E58)</f>
        <v>28388007528.879993</v>
      </c>
      <c r="F59" s="76">
        <f t="shared" ref="F59:H59" si="4">SUM(F10:F58)</f>
        <v>21125747821.446003</v>
      </c>
      <c r="G59" s="76">
        <f t="shared" si="4"/>
        <v>5167744194.2810001</v>
      </c>
      <c r="H59" s="76">
        <f t="shared" si="4"/>
        <v>1763255774.9530001</v>
      </c>
      <c r="I59" s="77"/>
      <c r="L59" s="68"/>
    </row>
    <row r="60" spans="3:32" ht="38.25" customHeight="1" x14ac:dyDescent="0.25">
      <c r="C60" s="62"/>
      <c r="D60" s="94"/>
      <c r="E60" s="94"/>
      <c r="F60" s="94"/>
      <c r="G60" s="94"/>
      <c r="H60" s="94"/>
      <c r="I60" s="62"/>
      <c r="J60" s="63"/>
    </row>
  </sheetData>
  <mergeCells count="14">
    <mergeCell ref="D60:H60"/>
    <mergeCell ref="H2:I2"/>
    <mergeCell ref="G8:G9"/>
    <mergeCell ref="H8:H9"/>
    <mergeCell ref="I8:I9"/>
    <mergeCell ref="C3:I3"/>
    <mergeCell ref="C4:I4"/>
    <mergeCell ref="C6:C9"/>
    <mergeCell ref="D6:D9"/>
    <mergeCell ref="E6:I6"/>
    <mergeCell ref="F7:I7"/>
    <mergeCell ref="F8:F9"/>
    <mergeCell ref="E7:E9"/>
    <mergeCell ref="C59:D59"/>
  </mergeCells>
  <printOptions horizontalCentered="1"/>
  <pageMargins left="0.19685039370078741" right="0.19685039370078741" top="0.59055118110236227" bottom="0" header="0" footer="0"/>
  <pageSetup paperSize="9" scale="28" fitToHeight="2" orientation="landscape" r:id="rId1"/>
  <rowBreaks count="1" manualBreakCount="1">
    <brk id="58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4" t="s">
        <v>164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30" x14ac:dyDescent="0.25">
      <c r="A2" s="125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 t="s">
        <v>166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4" spans="1:30" x14ac:dyDescent="0.25">
      <c r="A4" s="118" t="s">
        <v>167</v>
      </c>
      <c r="B4" s="118" t="s">
        <v>168</v>
      </c>
      <c r="C4" s="1"/>
      <c r="D4" s="1"/>
      <c r="E4" s="1"/>
      <c r="F4" s="118" t="s">
        <v>169</v>
      </c>
      <c r="G4" s="118" t="s">
        <v>170</v>
      </c>
      <c r="H4" s="118" t="s">
        <v>171</v>
      </c>
      <c r="I4" s="118" t="s">
        <v>172</v>
      </c>
      <c r="J4" s="118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21" t="s">
        <v>178</v>
      </c>
      <c r="P4" s="122"/>
      <c r="Q4" s="123"/>
      <c r="R4" s="118" t="s">
        <v>179</v>
      </c>
      <c r="S4" s="121" t="s">
        <v>180</v>
      </c>
      <c r="T4" s="122"/>
      <c r="U4" s="123"/>
      <c r="V4" s="118" t="s">
        <v>181</v>
      </c>
      <c r="W4" s="118" t="s">
        <v>182</v>
      </c>
      <c r="X4" s="121" t="s">
        <v>183</v>
      </c>
      <c r="Y4" s="123"/>
      <c r="Z4" s="118" t="s">
        <v>184</v>
      </c>
      <c r="AA4" s="118" t="s">
        <v>185</v>
      </c>
      <c r="AB4" s="118" t="s">
        <v>186</v>
      </c>
      <c r="AC4" s="118" t="s">
        <v>187</v>
      </c>
      <c r="AD4" s="118" t="s">
        <v>188</v>
      </c>
    </row>
    <row r="5" spans="1:30" x14ac:dyDescent="0.25">
      <c r="A5" s="119"/>
      <c r="B5" s="119"/>
      <c r="C5" s="3"/>
      <c r="D5" s="3"/>
      <c r="E5" s="3"/>
      <c r="F5" s="119"/>
      <c r="G5" s="119"/>
      <c r="H5" s="119"/>
      <c r="I5" s="119"/>
      <c r="J5" s="119"/>
      <c r="K5" s="3" t="s">
        <v>189</v>
      </c>
      <c r="L5" s="4" t="s">
        <v>189</v>
      </c>
      <c r="M5" s="3" t="s">
        <v>189</v>
      </c>
      <c r="N5" s="3" t="s">
        <v>189</v>
      </c>
      <c r="O5" s="118">
        <f>+SUBTOTAL(9,O10:O152)/1000</f>
        <v>139140.95300000001</v>
      </c>
      <c r="P5" s="118" t="s">
        <v>190</v>
      </c>
      <c r="Q5" s="118" t="s">
        <v>191</v>
      </c>
      <c r="R5" s="119"/>
      <c r="S5" s="118" t="s">
        <v>192</v>
      </c>
      <c r="T5" s="1" t="s">
        <v>193</v>
      </c>
      <c r="U5" s="118" t="s">
        <v>194</v>
      </c>
      <c r="V5" s="119"/>
      <c r="W5" s="119"/>
      <c r="X5" s="118" t="s">
        <v>195</v>
      </c>
      <c r="Y5" s="118" t="s">
        <v>196</v>
      </c>
      <c r="Z5" s="119"/>
      <c r="AA5" s="119"/>
      <c r="AB5" s="119"/>
      <c r="AC5" s="119"/>
      <c r="AD5" s="119"/>
    </row>
    <row r="6" spans="1:30" x14ac:dyDescent="0.25">
      <c r="A6" s="119"/>
      <c r="B6" s="119"/>
      <c r="C6" s="3"/>
      <c r="D6" s="3"/>
      <c r="E6" s="3"/>
      <c r="F6" s="119"/>
      <c r="G6" s="119"/>
      <c r="H6" s="119"/>
      <c r="I6" s="119"/>
      <c r="J6" s="119"/>
      <c r="K6" s="3"/>
      <c r="L6" s="4"/>
      <c r="M6" s="3"/>
      <c r="N6" s="3"/>
      <c r="O6" s="119"/>
      <c r="P6" s="119"/>
      <c r="Q6" s="119"/>
      <c r="R6" s="119"/>
      <c r="S6" s="119"/>
      <c r="T6" s="3" t="s">
        <v>197</v>
      </c>
      <c r="U6" s="119"/>
      <c r="V6" s="119"/>
      <c r="W6" s="119"/>
      <c r="X6" s="119"/>
      <c r="Y6" s="119"/>
      <c r="Z6" s="119"/>
      <c r="AA6" s="119"/>
      <c r="AB6" s="119"/>
      <c r="AC6" s="119"/>
      <c r="AD6" s="119"/>
    </row>
    <row r="7" spans="1:30" x14ac:dyDescent="0.25">
      <c r="A7" s="119"/>
      <c r="B7" s="119"/>
      <c r="C7" s="3"/>
      <c r="D7" s="3"/>
      <c r="E7" s="3"/>
      <c r="F7" s="119"/>
      <c r="G7" s="119"/>
      <c r="H7" s="119"/>
      <c r="I7" s="119"/>
      <c r="J7" s="119"/>
      <c r="K7" s="3"/>
      <c r="L7" s="4"/>
      <c r="M7" s="3"/>
      <c r="N7" s="3"/>
      <c r="O7" s="119"/>
      <c r="P7" s="119"/>
      <c r="Q7" s="119"/>
      <c r="R7" s="119"/>
      <c r="S7" s="119"/>
      <c r="T7" s="3" t="s">
        <v>198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</row>
    <row r="8" spans="1:30" x14ac:dyDescent="0.25">
      <c r="A8" s="120"/>
      <c r="B8" s="120"/>
      <c r="C8" s="5"/>
      <c r="D8" s="5"/>
      <c r="E8" s="5"/>
      <c r="F8" s="120"/>
      <c r="G8" s="120"/>
      <c r="H8" s="120"/>
      <c r="I8" s="120"/>
      <c r="J8" s="120"/>
      <c r="K8" s="5"/>
      <c r="L8" s="6"/>
      <c r="M8" s="5"/>
      <c r="N8" s="5"/>
      <c r="O8" s="120"/>
      <c r="P8" s="120"/>
      <c r="Q8" s="120"/>
      <c r="R8" s="120"/>
      <c r="S8" s="120"/>
      <c r="T8" s="5" t="s">
        <v>199</v>
      </c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2-чорак</vt:lpstr>
      <vt:lpstr>Шартномалар</vt:lpstr>
      <vt:lpstr>'2023 йил 2-чорак'!Заголовки_для_печати</vt:lpstr>
      <vt:lpstr>'Йиллик параметр'!Заголовки_для_печати</vt:lpstr>
      <vt:lpstr>'2023 йил 2-чорак'!Область_печати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2023-10-12T10:43:16Z</dcterms:modified>
</cp:coreProperties>
</file>